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881" activeTab="0"/>
  </bookViews>
  <sheets>
    <sheet name="ZBIORCZY IK" sheetId="1" r:id="rId1"/>
    <sheet name="ZBIORCZY PM" sheetId="2" r:id="rId2"/>
    <sheet name="ZBIORCZY GM" sheetId="3" r:id="rId3"/>
    <sheet name="ZBIORCZY LO" sheetId="4" r:id="rId4"/>
    <sheet name="ZBIORCZY MZUK" sheetId="5" r:id="rId5"/>
    <sheet name="ZBIORCZY SP" sheetId="6" r:id="rId6"/>
    <sheet name="ZBIORCZY ZB" sheetId="7" r:id="rId7"/>
    <sheet name="SKONS UM+WYK BUDZ" sheetId="8" r:id="rId8"/>
    <sheet name="UM" sheetId="9" r:id="rId9"/>
    <sheet name="JB" sheetId="10" r:id="rId10"/>
    <sheet name="SKONS JB" sheetId="11" r:id="rId11"/>
    <sheet name="SKONS WB+JB+ZB" sheetId="12" r:id="rId12"/>
    <sheet name="SKONS WB+JB+ZB+IK" sheetId="13" r:id="rId13"/>
    <sheet name="SKONS WB+JB+ZB+IK+PUM" sheetId="14" r:id="rId14"/>
    <sheet name="SKONS JST" sheetId="15" r:id="rId15"/>
  </sheets>
  <externalReferences>
    <externalReference r:id="rId18"/>
    <externalReference r:id="rId19"/>
  </externalReferences>
  <definedNames>
    <definedName name="_xlnm.Print_Area" localSheetId="2">'ZBIORCZY GM'!$A$1:$F$55</definedName>
  </definedNames>
  <calcPr fullCalcOnLoad="1"/>
</workbook>
</file>

<file path=xl/sharedStrings.xml><?xml version="1.0" encoding="utf-8"?>
<sst xmlns="http://schemas.openxmlformats.org/spreadsheetml/2006/main" count="1471" uniqueCount="297">
  <si>
    <t>nazwa i adres jednosyki sprawozdawczej</t>
  </si>
  <si>
    <r>
      <t>Adresat:</t>
    </r>
    <r>
      <rPr>
        <sz val="10"/>
        <rFont val="Arial"/>
        <family val="0"/>
      </rPr>
      <t xml:space="preserve">     </t>
    </r>
    <r>
      <rPr>
        <sz val="9"/>
        <rFont val="Arial"/>
        <family val="0"/>
      </rPr>
      <t xml:space="preserve"> </t>
    </r>
    <r>
      <rPr>
        <b/>
        <sz val="9"/>
        <rFont val="Arial CE"/>
        <family val="2"/>
      </rPr>
      <t>Regionalna Izba Obrachunkowa w Zielonej Górze</t>
    </r>
  </si>
  <si>
    <t>Numer indetyfikacyjny REGON</t>
  </si>
  <si>
    <t>Wysłać bez pisma przewodniego</t>
  </si>
  <si>
    <t>000525079</t>
  </si>
  <si>
    <t xml:space="preserve">Aktywa </t>
  </si>
  <si>
    <t>Stan na</t>
  </si>
  <si>
    <t>Pasywa</t>
  </si>
  <si>
    <t xml:space="preserve">Stan na </t>
  </si>
  <si>
    <t>rok poprzedni</t>
  </si>
  <si>
    <t>rok bieżący</t>
  </si>
  <si>
    <t>A. Aktywa trwałe</t>
  </si>
  <si>
    <t>A. Kapitał (fundusz) własny</t>
  </si>
  <si>
    <t>I.Wartości niematerialne i prawne</t>
  </si>
  <si>
    <t>I. Kapitał (fundusz) podstawowy</t>
  </si>
  <si>
    <t>1. Koszty zakończonych prac rozwojowych</t>
  </si>
  <si>
    <t>II. Należne wpłaty na kapitał podstawowy (wielkośc ujemna)</t>
  </si>
  <si>
    <t>2. Wartość firmy</t>
  </si>
  <si>
    <t>III. Udziały (akcje) własne (wielkośc ujemna)</t>
  </si>
  <si>
    <t>3. Inne wartości niematerialne i prawne</t>
  </si>
  <si>
    <t>IV. Kapitał (fundusz) zapasowy</t>
  </si>
  <si>
    <t>4. Zaliczki na wartości niematerilane i prawne</t>
  </si>
  <si>
    <t>V. Kapitał (fundusz) z aktualizacji wyceny</t>
  </si>
  <si>
    <t>II. Rzeczowe aktywa trwałe</t>
  </si>
  <si>
    <t>VI. Pozostałe kapitały (fundusze) rezerwowe</t>
  </si>
  <si>
    <t>1. Środki trwałe</t>
  </si>
  <si>
    <t>VII. Zysk (strata) z lat ubiegłych</t>
  </si>
  <si>
    <t>a) grunty (w tym prawo uzytkowania wieczystego gruntu)</t>
  </si>
  <si>
    <t>VIII.Zysk (strata) netto</t>
  </si>
  <si>
    <t>b) budynki, lokale i obiekty inżynierii lądowej i wodnej</t>
  </si>
  <si>
    <t>IX. Odpis z zysku netto w ciągu roku obrachunkowego (wielokśc ujemna)</t>
  </si>
  <si>
    <t>c) urządzenia techniczne i maszyny</t>
  </si>
  <si>
    <t>B. Zobowiązania i rezerwy na zobowiazania</t>
  </si>
  <si>
    <t>d) środki transportu</t>
  </si>
  <si>
    <t>I. Rezerwy na zobowiazania</t>
  </si>
  <si>
    <t>e) inne środki trwałe</t>
  </si>
  <si>
    <t>1. Rezerwa z tytułu odroczonego podatku dochodowego</t>
  </si>
  <si>
    <t>2. Środki trwałe w budowie</t>
  </si>
  <si>
    <t>2. Rezerwa na świadczenia emerytalne i pochodne</t>
  </si>
  <si>
    <t>3. Zaliczki na środki trwałe w budowie</t>
  </si>
  <si>
    <t>- długoterminowe</t>
  </si>
  <si>
    <t>III. Należności długoterminowe</t>
  </si>
  <si>
    <t>- krótkoterminowe</t>
  </si>
  <si>
    <t>1. Od jednostek powiązanych</t>
  </si>
  <si>
    <t>3. Pozostałe rezerwy</t>
  </si>
  <si>
    <t>2. Od pozostałych jednostek</t>
  </si>
  <si>
    <t>IV. Inwestycje długoterminowe</t>
  </si>
  <si>
    <t>1. Nieruchomosci</t>
  </si>
  <si>
    <t>II. Zobowiązania długoterminowe</t>
  </si>
  <si>
    <t>2. Wartości niematerialne i prawne</t>
  </si>
  <si>
    <t>1. Wobec jednostek powiązanych</t>
  </si>
  <si>
    <t>3. Długoterminowe aktywa finansowe</t>
  </si>
  <si>
    <t>2. Wobec pozostałych jednostek</t>
  </si>
  <si>
    <t>a) w jednostkach powiązanych</t>
  </si>
  <si>
    <t>a) kredyty i pożyczki</t>
  </si>
  <si>
    <t>- udziały i akcje</t>
  </si>
  <si>
    <t>b) z tytułu emisji papierów wartościowych</t>
  </si>
  <si>
    <t>- inne papiery wartościowe</t>
  </si>
  <si>
    <t>c) inne zobowiaznia finansowe</t>
  </si>
  <si>
    <t>- udzielone pożyczki</t>
  </si>
  <si>
    <t>d) inne</t>
  </si>
  <si>
    <t>- inne długoterinowe aktywa finansowe</t>
  </si>
  <si>
    <t>III. Zobowiazania krótkoterminowe</t>
  </si>
  <si>
    <t>b) w pozostałych jednostakch</t>
  </si>
  <si>
    <t>a) z tytułu dostaw i usług, o okresie wymagalności</t>
  </si>
  <si>
    <t>- do 12 miesięcy</t>
  </si>
  <si>
    <t>- powyżej 12 miesięcy</t>
  </si>
  <si>
    <t>b) inne</t>
  </si>
  <si>
    <t>4. Inne inwestycje długoterminowe</t>
  </si>
  <si>
    <t>2. Wocec pozostałych jednostek</t>
  </si>
  <si>
    <t>V. Długoterminowe rozliczenia międzyokresowe</t>
  </si>
  <si>
    <t>1. Aktywa z tytułu odroczonego podatku dochodowego</t>
  </si>
  <si>
    <t>b) z tytułu emisji dluznych papierów wartościowych</t>
  </si>
  <si>
    <t>2. Inne rozliczenia międzyokresowe</t>
  </si>
  <si>
    <t>c) inne zobowiązania finansowe</t>
  </si>
  <si>
    <t>B. Aktywa obrotowe</t>
  </si>
  <si>
    <t>d) z tytułu dostaw i usług, o okresie wymagalności</t>
  </si>
  <si>
    <t>I. Zapasy</t>
  </si>
  <si>
    <t>1. Materiały</t>
  </si>
  <si>
    <t>2. Półprodukty i produkty w toku</t>
  </si>
  <si>
    <t xml:space="preserve">e) zaliczki otrzymane na dostawy </t>
  </si>
  <si>
    <t>3. Produkty w toku</t>
  </si>
  <si>
    <t>f) zobowiązania wekslowe</t>
  </si>
  <si>
    <t>4. Towary</t>
  </si>
  <si>
    <t>g) z tyt.podatków, ceł, ubezp. i innych świadczeń</t>
  </si>
  <si>
    <t>5. Zaliczki na dostawy</t>
  </si>
  <si>
    <t>h) z tytułu wynagrodzeń</t>
  </si>
  <si>
    <t>II. Należności krótkoterminowe</t>
  </si>
  <si>
    <t>i) inne</t>
  </si>
  <si>
    <t>1. Należności od jednostek powiązanych</t>
  </si>
  <si>
    <t>3. Fundusze specjalne</t>
  </si>
  <si>
    <t>a) z tytułu dostaw i usług, o okresie spłaty</t>
  </si>
  <si>
    <t>IV. Rozliczenia międzyokresowe</t>
  </si>
  <si>
    <t>1. Ujemna wartość firmy</t>
  </si>
  <si>
    <t>2. Należności od pozostałych jednostek</t>
  </si>
  <si>
    <t>b) z tyt.podatków, dotacji, ceł, ubezpieczeń społ. i zdr. oraz innych świadczeń</t>
  </si>
  <si>
    <t>c) inne</t>
  </si>
  <si>
    <t>d) dochodzone na drodze sądowej</t>
  </si>
  <si>
    <t>III. Inwestycje krótkoterminowe</t>
  </si>
  <si>
    <t>1. Krótkoterminowe aktwya finansowe</t>
  </si>
  <si>
    <t>- inne krótkoterinowe aktywa finansowe</t>
  </si>
  <si>
    <t>b) w pozostałych jednostkach</t>
  </si>
  <si>
    <t>c) środki pieniężne i inne aktywa pienięzne</t>
  </si>
  <si>
    <t>- środki pienięzne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</si>
  <si>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</si>
  <si>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</si>
  <si>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</si>
  <si>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</si>
  <si>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AKTYWA RAZEM</t>
  </si>
  <si>
    <t>PASYWA RAZEM</t>
  </si>
  <si>
    <t>skarbnik</t>
  </si>
  <si>
    <t>rok, m-c, dzień</t>
  </si>
  <si>
    <t>Kierownik jednostki</t>
  </si>
  <si>
    <r>
      <t xml:space="preserve"> BILANS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zbiorczo</t>
    </r>
    <r>
      <rPr>
        <sz val="10"/>
        <rFont val="Arial"/>
        <family val="0"/>
      </rPr>
      <t xml:space="preserve">                  jednostek kultury                              na dzień </t>
    </r>
    <r>
      <rPr>
        <b/>
        <sz val="10"/>
        <rFont val="Arial CE"/>
        <family val="2"/>
      </rPr>
      <t>31.12.2007r.</t>
    </r>
  </si>
  <si>
    <t>A.Objasnienia - wykazanie w bilansie wartości aktywów trwałych i obrotowych sa pomniejszone odpowiednio o umorzenie i odpisy aktualizacyjne.</t>
  </si>
  <si>
    <t>B.Informacje uzupełniające istotne dla rzetelnosci i przejrzystości sytuacji finansowej i majątkowej:</t>
  </si>
  <si>
    <t>1. Umorzenie wartości niematrialnych i prawnych</t>
  </si>
  <si>
    <t>2. Umorzenie środków trwałych</t>
  </si>
  <si>
    <t xml:space="preserve">3. Umorzenie pozostałych środków trwałych i wyposażenia </t>
  </si>
  <si>
    <t>4. Odpisy aktualizujące nalezności</t>
  </si>
  <si>
    <t>5. .................................</t>
  </si>
  <si>
    <t>SKONSOLIDOWANY BILANS</t>
  </si>
  <si>
    <r>
      <t xml:space="preserve">Adresat:      </t>
    </r>
    <r>
      <rPr>
        <b/>
        <sz val="7"/>
        <rFont val="Arial CE"/>
        <family val="2"/>
      </rPr>
      <t>Regionalna Izba Obrachunkowa w Zielonej Górze</t>
    </r>
  </si>
  <si>
    <t xml:space="preserve"> z wykonania budżetu</t>
  </si>
  <si>
    <t>Stan na początek roku</t>
  </si>
  <si>
    <t>Stan na koniec roku</t>
  </si>
  <si>
    <t>A. Fundusze</t>
  </si>
  <si>
    <t>I. Fundusz jednostki</t>
  </si>
  <si>
    <t>II. Wynik finansowy netto</t>
  </si>
  <si>
    <t>1.1 Zysk netto (+)</t>
  </si>
  <si>
    <t>1.1 Grunty</t>
  </si>
  <si>
    <t>1.2 Strata netto (-)</t>
  </si>
  <si>
    <t>1.2 Budynki, lokale i obiekty inżynierii lądowej i wodnej</t>
  </si>
  <si>
    <t>III.Skumulowana nadwyżka lub niedobór na zasobach budżetu (+,-)</t>
  </si>
  <si>
    <t>1.3 Urządzenia techniczne i maszyny</t>
  </si>
  <si>
    <t>IV. Nadwyżka lub niedobór budżetu (+,-)</t>
  </si>
  <si>
    <t>1.4 Środki transportu</t>
  </si>
  <si>
    <t>IVa. Rezerwa na niewygasajace wydatki</t>
  </si>
  <si>
    <t>1.5 inne środki trwałe</t>
  </si>
  <si>
    <t>IVb. Wynik na funduszach pomocowych</t>
  </si>
  <si>
    <t>2. Inwestycje rozpoczęte (środki trwałe w budowie)</t>
  </si>
  <si>
    <t>V. Nadwyżka środków obrotowych (-)</t>
  </si>
  <si>
    <t>3. Środki przekazane na poczet inwestycji</t>
  </si>
  <si>
    <t>VI. Odpisy wyniku finansowego (-)</t>
  </si>
  <si>
    <t>VII. Fundusz mienia zlikwidowanych jednostek</t>
  </si>
  <si>
    <t>IV. Długoterminowe aktywa finansowe</t>
  </si>
  <si>
    <t>VIII. Pozostałe pozycje</t>
  </si>
  <si>
    <t>1.1 Akcjie i udziały</t>
  </si>
  <si>
    <t>B. Fundusze celowe</t>
  </si>
  <si>
    <t>1.2 Papiery wartościowe długoterminowe</t>
  </si>
  <si>
    <t>1.1 .....</t>
  </si>
  <si>
    <t>1.3 Inne długoterminowe aktywa finansowe</t>
  </si>
  <si>
    <t>1.2......</t>
  </si>
  <si>
    <t>V. Wartość mienia zlikwidowanych jednostek</t>
  </si>
  <si>
    <t>C. Zobowiązania długoterinowe</t>
  </si>
  <si>
    <t>D. Zobowiązania krótkoterimowe i fundusze specjalne</t>
  </si>
  <si>
    <t>I. Zobowiązania krótkoterminowe</t>
  </si>
  <si>
    <t>1.1 Materiały</t>
  </si>
  <si>
    <t>1.1 Zobowiązania z tytułu dostaw i usług</t>
  </si>
  <si>
    <t>1.2 Półprodukty i produkty w toku</t>
  </si>
  <si>
    <t>1.2 Zobowiazania wobec budżetów</t>
  </si>
  <si>
    <t>1.3 Produkty gotowe</t>
  </si>
  <si>
    <t>1.3 Zobowiązania z tytułu ubezpieczeń społecznych</t>
  </si>
  <si>
    <t>1.4 Towary</t>
  </si>
  <si>
    <t>1.4 Zobowiązania z tytułu wynagrodzeń</t>
  </si>
  <si>
    <t>II. Należności krótkoterinowe</t>
  </si>
  <si>
    <t>1.5 pozostałe zobowiązania</t>
  </si>
  <si>
    <t>1.1 Należności z tytułu dostaw i usług</t>
  </si>
  <si>
    <t>1.6 Sumy obce (depozytowe zabezpieczenia wykonania umów)</t>
  </si>
  <si>
    <t>1.2 Należności od budżetów</t>
  </si>
  <si>
    <t>1.7 Rozliczenia z tytułu środków na wydatki budżetowe i z tytułu dochodów budżetowych</t>
  </si>
  <si>
    <t>1.3 Należności z tytułu ubezpieczeń społecznych</t>
  </si>
  <si>
    <t>1.8 Rezerwy na zobowiązania</t>
  </si>
  <si>
    <t>1.4 Pozostałe należności</t>
  </si>
  <si>
    <t>II. Fundusze specjalne</t>
  </si>
  <si>
    <t>1.5 Rozliczenia z tytułu środków na wydatki budżetowe i z tytułu dochodów budżetowych</t>
  </si>
  <si>
    <t>1.1 Zakładowy Fundusz Świadczeń Socjalnych</t>
  </si>
  <si>
    <t>III.Środki pieniężne</t>
  </si>
  <si>
    <t>1.2 Inne fundusze</t>
  </si>
  <si>
    <t>1.1 Środki pieniężne w kasie</t>
  </si>
  <si>
    <t>E. Rozliczenia międzyokresowe</t>
  </si>
  <si>
    <t>1.2 Środki pieniężne na rachunkach bankowych</t>
  </si>
  <si>
    <t>I. Rozliczenia międzyokresowe przychodów</t>
  </si>
  <si>
    <t>1.3 Inne środki pieniężne</t>
  </si>
  <si>
    <t xml:space="preserve">II. Inne rozliczenia międzyokresowe </t>
  </si>
  <si>
    <t>IV. Krótkoterminowe papiery wartościowe</t>
  </si>
  <si>
    <t>F. Inne pasywa</t>
  </si>
  <si>
    <t>V. Rozliczenia międzyokresowe</t>
  </si>
  <si>
    <t>C. Inne aktywa</t>
  </si>
  <si>
    <t>Suma AKTYWÓW</t>
  </si>
  <si>
    <t>Suma PASYWÓW</t>
  </si>
  <si>
    <t>zbiorczo przedszkola miejskie</t>
  </si>
  <si>
    <t>na dzień 31.12.2007r.</t>
  </si>
  <si>
    <t>zbiorczo gimnazja</t>
  </si>
  <si>
    <t>MZUK</t>
  </si>
  <si>
    <t>szkoły podstawowe</t>
  </si>
  <si>
    <t>SKONSOLIDOWANY</t>
  </si>
  <si>
    <t>BILANS</t>
  </si>
  <si>
    <t>jednostki samorządu terytorialnego</t>
  </si>
  <si>
    <t>Gmina Gubin o statusie miejskim</t>
  </si>
  <si>
    <t>Nazwa i adres jednostki sprawozdawczej</t>
  </si>
  <si>
    <r>
      <t>Adresat:</t>
    </r>
    <r>
      <rPr>
        <b/>
        <sz val="7"/>
        <rFont val="Arial CE"/>
        <family val="2"/>
      </rPr>
      <t xml:space="preserve"> Regionalna Izba Obrachunkowa w Zielonej Górze</t>
    </r>
  </si>
  <si>
    <t>Numer identyfikacyjny REGON</t>
  </si>
  <si>
    <t>Wysyłać bez pisma przewodniego</t>
  </si>
  <si>
    <t>AKTYWA</t>
  </si>
  <si>
    <t>stan na początek roku</t>
  </si>
  <si>
    <t>stan na koniec roku</t>
  </si>
  <si>
    <t>PASYWA</t>
  </si>
  <si>
    <t xml:space="preserve">A. Fundusz </t>
  </si>
  <si>
    <t>I. Wartości niematerialne i prawne</t>
  </si>
  <si>
    <t>II. Skumulowana nadwyżka lub niedobór na zasobach budżetu (+, -)</t>
  </si>
  <si>
    <t>III. Nadwyżka lub niedobór budżetu (+, -)</t>
  </si>
  <si>
    <t>IIIa. Rezerwa na niewygasajace wydatki</t>
  </si>
  <si>
    <t>1.2 Budynki lokale i obiekty inżynierii lądowej i wodnej</t>
  </si>
  <si>
    <t>IIIb. Wynik na funduszach pomocowych</t>
  </si>
  <si>
    <t>IV. Wyniki finansowe roku bieżacego</t>
  </si>
  <si>
    <t>1.1 Zysk netto(+)</t>
  </si>
  <si>
    <t>1.5 Inne środki trwałe</t>
  </si>
  <si>
    <t>1.2 Strata netto(-)</t>
  </si>
  <si>
    <t>2. Inwestycje (środki trwałe w budowie)</t>
  </si>
  <si>
    <t>V. Wyniki finansowe lat ubiegłych</t>
  </si>
  <si>
    <t>3. Środki przekazane na poczet inwestycji (środków trwałych w budowie)</t>
  </si>
  <si>
    <t>III. Długoterminowe aktywa finansowe</t>
  </si>
  <si>
    <t>1.1 Akcje i udziały</t>
  </si>
  <si>
    <t xml:space="preserve">VI. Odpisy z zysku i nadwyżki środków obrotowych roku bieżącego (-) </t>
  </si>
  <si>
    <t xml:space="preserve">1.3 Inne </t>
  </si>
  <si>
    <t>VIII. Odpisy z zysku i nadwyżki środków obrotowych roku bieżącego (-)</t>
  </si>
  <si>
    <t>IV. Należności finansowe długoterminowe</t>
  </si>
  <si>
    <t>IX. Pozostałe pozycje</t>
  </si>
  <si>
    <t>B. Zobowiązania długoterminowe</t>
  </si>
  <si>
    <t>I. Zobowiązania finansowe długoterminowe</t>
  </si>
  <si>
    <t>II. Pozostałe zobowiązania długoterminowe</t>
  </si>
  <si>
    <t>II. Należności finansowe krótkoterminowe</t>
  </si>
  <si>
    <t>C. Zobowiązania krótkoterminowe i fundusze specjalne</t>
  </si>
  <si>
    <t>IV. Środki pieniężne</t>
  </si>
  <si>
    <t>I. Zobowiązania finansowe krótkoterminowe</t>
  </si>
  <si>
    <t>V. Krótkoterminowe papiery wartościowe</t>
  </si>
  <si>
    <t>II. Pozostałe zobowiązania krótkoterminowe</t>
  </si>
  <si>
    <t>VI. Inwestycje krótkoterminowe</t>
  </si>
  <si>
    <t>III. Rezerwy na zobowiązania</t>
  </si>
  <si>
    <t>C. Rozliczenia międzyokresowe</t>
  </si>
  <si>
    <t>IV. Fundusze specjalne</t>
  </si>
  <si>
    <t>D. Inne aktywa</t>
  </si>
  <si>
    <t>D. Rozliczenia międzyokresowe</t>
  </si>
  <si>
    <t>E. Inne pasywa</t>
  </si>
  <si>
    <t>F. Fundusze celowe</t>
  </si>
  <si>
    <t>2. Odpisy aktualizujące nalezności</t>
  </si>
  <si>
    <t>3. .................................</t>
  </si>
  <si>
    <r>
      <t xml:space="preserve">sporządzony na dzień </t>
    </r>
    <r>
      <rPr>
        <b/>
        <sz val="7"/>
        <rFont val="Arial CE"/>
        <family val="2"/>
      </rPr>
      <t>31.12.2007</t>
    </r>
  </si>
  <si>
    <t xml:space="preserve"> BILANS</t>
  </si>
  <si>
    <t>ZBIORCZO</t>
  </si>
  <si>
    <t>ZAKŁADY BUDŻETOWE</t>
  </si>
  <si>
    <r>
      <t>SKONSOLIDOWANY BILANS</t>
    </r>
    <r>
      <rPr>
        <sz val="7"/>
        <rFont val="Arial CE"/>
        <family val="2"/>
      </rPr>
      <t xml:space="preserve"> </t>
    </r>
  </si>
  <si>
    <t xml:space="preserve">jednostek budżetowych UM zbiorczy + </t>
  </si>
  <si>
    <t>z wykonania budżetu Gminy Gubin o statusie miejskim</t>
  </si>
  <si>
    <t>-</t>
  </si>
  <si>
    <t xml:space="preserve"> </t>
  </si>
  <si>
    <t xml:space="preserve"> na dzień 31.12.2007r.</t>
  </si>
  <si>
    <t>zbiorczy jednostek budżetowych                                                                                       zbiorczy zakłady budżetowe</t>
  </si>
  <si>
    <t>zbiorczy jednostek budżetowych                                                                                       zbiorczy zakłady budżetowe                         instytucje kultury</t>
  </si>
  <si>
    <t xml:space="preserve">                                                                                               na dzień 31.12.2007r.</t>
  </si>
  <si>
    <t>zbiorczy jednostek budżetowych                                                                                       zbiorczy zakłady budżetowe                                     PUM                                                       instytucje kultury</t>
  </si>
  <si>
    <t xml:space="preserve"> na dzień 31.12.2007r.     </t>
  </si>
  <si>
    <t>LO</t>
  </si>
  <si>
    <t>Adresat</t>
  </si>
  <si>
    <t>jednostki budżetowej</t>
  </si>
  <si>
    <t>I. Wiadomości niematerialne i prawne</t>
  </si>
  <si>
    <t>III. Nadwyżka środków obrotowych (-)</t>
  </si>
  <si>
    <t>IV.Odpisy wyniku finansowego(-)</t>
  </si>
  <si>
    <t>V.Fundusz mienia zlikwidowanych jednostek</t>
  </si>
  <si>
    <t>VI Inne</t>
  </si>
  <si>
    <t>B.Fundusze celowe</t>
  </si>
  <si>
    <t>3.Środki przekazane na poczet inwestycji</t>
  </si>
  <si>
    <t>1.1. ...........</t>
  </si>
  <si>
    <t>III. Nalezności długoterminowe</t>
  </si>
  <si>
    <t>1.2. ............</t>
  </si>
  <si>
    <t>IV Długoterminowe aktywa finansowe</t>
  </si>
  <si>
    <t>C. Zobowiązania długoterminowe</t>
  </si>
  <si>
    <t>D. Zobowiązania krótkoterminowe i fundusze specjalne</t>
  </si>
  <si>
    <t>V.Wartość mienia zlikwidowanych jednostek</t>
  </si>
  <si>
    <t>1.2 Zobowiązania wobec budżetów</t>
  </si>
  <si>
    <t>1.1 Materialy</t>
  </si>
  <si>
    <t>1.5 Pozostałe zobowiązania</t>
  </si>
  <si>
    <t>1.6 Sumy obce(depozytowe zabezpieczenie wykonania umów)</t>
  </si>
  <si>
    <t>II Należności krótkoterminowe</t>
  </si>
  <si>
    <t>II Fundusze specjalne</t>
  </si>
  <si>
    <t>1.2 Należności od budzetów</t>
  </si>
  <si>
    <t>1.4Pozostałe naleznosci</t>
  </si>
  <si>
    <t>II. Inne rozliczenia międzyokresowe</t>
  </si>
  <si>
    <t>III Środki pieniężne</t>
  </si>
  <si>
    <t>1.1. Środki pieniężne w kasie</t>
  </si>
  <si>
    <t>IV Krótkoterminowe papiery wartościowe</t>
  </si>
  <si>
    <t>suma AKTYWÓW</t>
  </si>
  <si>
    <r>
      <t xml:space="preserve">sporządzony na dzień </t>
    </r>
    <r>
      <rPr>
        <b/>
        <sz val="8"/>
        <rFont val="Arial CE"/>
        <family val="2"/>
      </rPr>
      <t>31.12.2007</t>
    </r>
  </si>
  <si>
    <r>
      <t>BILANS</t>
    </r>
    <r>
      <rPr>
        <sz val="7"/>
        <rFont val="Arial CE"/>
        <family val="2"/>
      </rPr>
      <t xml:space="preserve"> </t>
    </r>
  </si>
  <si>
    <t>UM jednostki budżetowej</t>
  </si>
  <si>
    <t>1.4 Pozostałe naleznosci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</si>
</sst>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"/>
  </numFmts>
  <fonts count="24">
    <font>
      <sz val="10"/>
      <name val="Arial"/>
      <family val="0"/>
    </font>
    <font>
      <sz val="7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E"/>
      <family val="2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Arial CE"/>
      <family val="2"/>
    </font>
    <font>
      <b/>
      <i/>
      <sz val="7"/>
      <name val="Arial CE"/>
      <family val="2"/>
    </font>
    <font>
      <b/>
      <sz val="7"/>
      <name val="Arial CE"/>
      <family val="2"/>
    </font>
    <font>
      <b/>
      <sz val="8"/>
      <name val="Times New Roman"/>
      <family val="1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sz val="7"/>
      <name val="Times New Roman CE"/>
      <family val="1"/>
    </font>
    <font>
      <sz val="8"/>
      <name val="Arial CE"/>
      <family val="0"/>
    </font>
    <font>
      <strike/>
      <sz val="8"/>
      <name val="Arial CE"/>
      <family val="2"/>
    </font>
    <font>
      <strike/>
      <sz val="7"/>
      <name val="Arial CE"/>
      <family val="2"/>
    </font>
    <font>
      <u val="single"/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4" fontId="12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9" fontId="10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/>
    </xf>
    <xf numFmtId="164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4" fontId="1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6" fillId="0" borderId="0" xfId="0" applyNumberFormat="1" applyFont="1" applyAlignment="1">
      <alignment/>
    </xf>
    <xf numFmtId="4" fontId="16" fillId="0" borderId="1" xfId="0" applyNumberFormat="1" applyFont="1" applyBorder="1" applyAlignment="1">
      <alignment/>
    </xf>
    <xf numFmtId="0" fontId="13" fillId="0" borderId="3" xfId="0" applyFont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4" fontId="17" fillId="0" borderId="1" xfId="0" applyNumberFormat="1" applyFont="1" applyBorder="1" applyAlignment="1">
      <alignment/>
    </xf>
    <xf numFmtId="0" fontId="13" fillId="0" borderId="0" xfId="0" applyFont="1" applyAlignment="1">
      <alignment wrapText="1"/>
    </xf>
    <xf numFmtId="4" fontId="13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4" fontId="16" fillId="0" borderId="4" xfId="0" applyNumberFormat="1" applyFont="1" applyFill="1" applyBorder="1" applyAlignment="1">
      <alignment/>
    </xf>
    <xf numFmtId="0" fontId="8" fillId="0" borderId="1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18" fillId="0" borderId="1" xfId="0" applyFont="1" applyBorder="1" applyAlignment="1">
      <alignment/>
    </xf>
    <xf numFmtId="4" fontId="16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8" fillId="0" borderId="1" xfId="0" applyFont="1" applyBorder="1" applyAlignment="1">
      <alignment horizontal="center" wrapText="1"/>
    </xf>
    <xf numFmtId="4" fontId="18" fillId="0" borderId="1" xfId="0" applyNumberFormat="1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 horizontal="center"/>
    </xf>
    <xf numFmtId="0" fontId="20" fillId="0" borderId="1" xfId="0" applyFont="1" applyBorder="1" applyAlignment="1">
      <alignment horizontal="center" wrapText="1"/>
    </xf>
    <xf numFmtId="4" fontId="20" fillId="0" borderId="1" xfId="0" applyNumberFormat="1" applyFont="1" applyBorder="1" applyAlignment="1">
      <alignment/>
    </xf>
    <xf numFmtId="0" fontId="20" fillId="0" borderId="1" xfId="0" applyFont="1" applyBorder="1" applyAlignment="1">
      <alignment wrapText="1"/>
    </xf>
    <xf numFmtId="4" fontId="20" fillId="0" borderId="1" xfId="0" applyNumberFormat="1" applyFont="1" applyBorder="1" applyAlignment="1">
      <alignment/>
    </xf>
    <xf numFmtId="4" fontId="20" fillId="0" borderId="4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0" fontId="8" fillId="0" borderId="0" xfId="0" applyFont="1" applyAlignment="1">
      <alignment wrapText="1"/>
    </xf>
    <xf numFmtId="4" fontId="1" fillId="0" borderId="4" xfId="0" applyNumberFormat="1" applyFont="1" applyFill="1" applyBorder="1" applyAlignment="1">
      <alignment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5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" fillId="0" borderId="7" xfId="0" applyFont="1" applyBorder="1" applyAlignment="1">
      <alignment vertical="top" shrinkToFit="1"/>
    </xf>
    <xf numFmtId="0" fontId="1" fillId="0" borderId="8" xfId="0" applyFont="1" applyBorder="1" applyAlignment="1">
      <alignment vertical="top" shrinkToFit="1"/>
    </xf>
    <xf numFmtId="0" fontId="1" fillId="0" borderId="9" xfId="0" applyFont="1" applyBorder="1" applyAlignment="1">
      <alignment vertical="top" shrinkToFit="1"/>
    </xf>
    <xf numFmtId="0" fontId="1" fillId="0" borderId="10" xfId="0" applyFont="1" applyBorder="1" applyAlignment="1">
      <alignment vertical="top" shrinkToFit="1"/>
    </xf>
    <xf numFmtId="0" fontId="1" fillId="0" borderId="5" xfId="0" applyFont="1" applyBorder="1" applyAlignment="1">
      <alignment vertical="top" shrinkToFit="1"/>
    </xf>
    <xf numFmtId="0" fontId="1" fillId="0" borderId="6" xfId="0" applyFont="1" applyBorder="1" applyAlignment="1">
      <alignment vertical="top" shrinkToFit="1"/>
    </xf>
    <xf numFmtId="49" fontId="13" fillId="0" borderId="9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20" fillId="0" borderId="7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0" fontId="20" fillId="0" borderId="9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7" xfId="0" applyFont="1" applyBorder="1" applyAlignment="1">
      <alignment/>
    </xf>
    <xf numFmtId="0" fontId="20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7" xfId="0" applyFont="1" applyBorder="1" applyAlignment="1">
      <alignment/>
    </xf>
    <xf numFmtId="0" fontId="20" fillId="0" borderId="8" xfId="0" applyFont="1" applyBorder="1" applyAlignment="1">
      <alignment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7" xfId="0" applyFont="1" applyBorder="1" applyAlignment="1">
      <alignment vertical="top" shrinkToFit="1"/>
    </xf>
    <xf numFmtId="0" fontId="20" fillId="0" borderId="8" xfId="0" applyFont="1" applyBorder="1" applyAlignment="1">
      <alignment vertical="top" shrinkToFit="1"/>
    </xf>
    <xf numFmtId="0" fontId="20" fillId="0" borderId="9" xfId="0" applyFont="1" applyBorder="1" applyAlignment="1">
      <alignment vertical="top" shrinkToFit="1"/>
    </xf>
    <xf numFmtId="0" fontId="20" fillId="0" borderId="10" xfId="0" applyFont="1" applyBorder="1" applyAlignment="1">
      <alignment vertical="top" shrinkToFit="1"/>
    </xf>
    <xf numFmtId="0" fontId="20" fillId="0" borderId="5" xfId="0" applyFont="1" applyBorder="1" applyAlignment="1">
      <alignment vertical="top" shrinkToFit="1"/>
    </xf>
    <xf numFmtId="0" fontId="20" fillId="0" borderId="6" xfId="0" applyFont="1" applyBorder="1" applyAlignment="1">
      <alignment vertical="top" shrinkToFit="1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5" xfId="0" applyFont="1" applyBorder="1" applyAlignment="1">
      <alignment/>
    </xf>
    <xf numFmtId="0" fontId="20" fillId="0" borderId="6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 shrinkToFit="1"/>
    </xf>
    <xf numFmtId="0" fontId="13" fillId="0" borderId="6" xfId="0" applyFont="1" applyBorder="1" applyAlignment="1">
      <alignment horizontal="center" shrinkToFit="1"/>
    </xf>
    <xf numFmtId="0" fontId="1" fillId="0" borderId="7" xfId="0" applyFont="1" applyBorder="1" applyAlignment="1">
      <alignment vertical="top" shrinkToFit="1"/>
    </xf>
    <xf numFmtId="0" fontId="1" fillId="0" borderId="8" xfId="0" applyFont="1" applyBorder="1" applyAlignment="1">
      <alignment vertical="top" shrinkToFit="1"/>
    </xf>
    <xf numFmtId="0" fontId="1" fillId="0" borderId="9" xfId="0" applyFont="1" applyBorder="1" applyAlignment="1">
      <alignment vertical="top" shrinkToFit="1"/>
    </xf>
    <xf numFmtId="0" fontId="1" fillId="0" borderId="10" xfId="0" applyFont="1" applyBorder="1" applyAlignment="1">
      <alignment vertical="top" shrinkToFit="1"/>
    </xf>
    <xf numFmtId="0" fontId="1" fillId="0" borderId="13" xfId="0" applyFont="1" applyBorder="1" applyAlignment="1">
      <alignment vertical="top" shrinkToFit="1"/>
    </xf>
    <xf numFmtId="0" fontId="1" fillId="0" borderId="14" xfId="0" applyFont="1" applyBorder="1" applyAlignment="1">
      <alignment vertical="top" shrinkToFi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S%20SKONSOLIDOWANY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asia\tomek\EDYTA%20U%20ANI\bilans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  <sheetName val="Arkusz2 (2)"/>
      <sheetName val="Arkusz4"/>
      <sheetName val="Arkusz5"/>
      <sheetName val="bilans skons zbiorczo"/>
    </sheetNames>
    <sheetDataSet>
      <sheetData sheetId="1">
        <row r="9">
          <cell r="C9">
            <v>36709.35</v>
          </cell>
        </row>
      </sheetData>
      <sheetData sheetId="3">
        <row r="8">
          <cell r="C8">
            <v>117765838.98</v>
          </cell>
          <cell r="F8">
            <v>112701035.05</v>
          </cell>
        </row>
        <row r="9">
          <cell r="F9">
            <v>125818902.1</v>
          </cell>
        </row>
        <row r="10">
          <cell r="C10">
            <v>106023529.63000001</v>
          </cell>
          <cell r="F10">
            <v>-6168025.3</v>
          </cell>
        </row>
        <row r="11">
          <cell r="C11">
            <v>102982234.71000001</v>
          </cell>
          <cell r="F11">
            <v>1140859.39</v>
          </cell>
        </row>
        <row r="12">
          <cell r="C12">
            <v>51353126.55</v>
          </cell>
          <cell r="F12">
            <v>7308884.69</v>
          </cell>
        </row>
        <row r="13">
          <cell r="C13">
            <v>50079344.84</v>
          </cell>
          <cell r="F13">
            <v>-4413230.24</v>
          </cell>
        </row>
        <row r="14">
          <cell r="C14">
            <v>1101417.65</v>
          </cell>
          <cell r="F14">
            <v>-2536611.51</v>
          </cell>
        </row>
        <row r="15">
          <cell r="C15">
            <v>287008.78</v>
          </cell>
          <cell r="F15">
            <v>0</v>
          </cell>
        </row>
        <row r="16">
          <cell r="C16">
            <v>161336.89</v>
          </cell>
          <cell r="F16">
            <v>-14575.91</v>
          </cell>
        </row>
        <row r="17">
          <cell r="C17">
            <v>3041294.92</v>
          </cell>
          <cell r="F17">
            <v>0</v>
          </cell>
        </row>
        <row r="18">
          <cell r="C18">
            <v>0</v>
          </cell>
          <cell r="F18">
            <v>0</v>
          </cell>
        </row>
        <row r="19">
          <cell r="F19">
            <v>0</v>
          </cell>
        </row>
        <row r="24">
          <cell r="F24">
            <v>9393195.16</v>
          </cell>
        </row>
        <row r="25">
          <cell r="C25">
            <v>8444021.71</v>
          </cell>
        </row>
        <row r="26">
          <cell r="C26">
            <v>69588.23999999999</v>
          </cell>
        </row>
        <row r="27">
          <cell r="C27">
            <v>47252.14</v>
          </cell>
          <cell r="F27">
            <v>649128.84</v>
          </cell>
        </row>
        <row r="28">
          <cell r="C28">
            <v>0</v>
          </cell>
          <cell r="F28">
            <v>174268.58</v>
          </cell>
        </row>
        <row r="29">
          <cell r="C29">
            <v>0</v>
          </cell>
          <cell r="F29">
            <v>638364.38</v>
          </cell>
        </row>
        <row r="30">
          <cell r="C30">
            <v>22336.1</v>
          </cell>
          <cell r="F30">
            <v>593987.9</v>
          </cell>
        </row>
        <row r="31">
          <cell r="C31">
            <v>4902305.83</v>
          </cell>
          <cell r="F31">
            <v>190139.45</v>
          </cell>
        </row>
        <row r="32">
          <cell r="C32">
            <v>350620.42</v>
          </cell>
          <cell r="F32">
            <v>224134.13</v>
          </cell>
        </row>
        <row r="33">
          <cell r="C33">
            <v>751116.21</v>
          </cell>
          <cell r="F33">
            <v>17739.79</v>
          </cell>
        </row>
        <row r="34">
          <cell r="F34">
            <v>10901.82</v>
          </cell>
        </row>
        <row r="36">
          <cell r="C36">
            <v>61154.59</v>
          </cell>
          <cell r="F36">
            <v>382336.29</v>
          </cell>
        </row>
        <row r="37">
          <cell r="C37">
            <v>3472127.64</v>
          </cell>
          <cell r="F37">
            <v>122822.4</v>
          </cell>
        </row>
        <row r="38">
          <cell r="F38">
            <v>532678.9</v>
          </cell>
        </row>
        <row r="39">
          <cell r="F39">
            <v>532678.9</v>
          </cell>
        </row>
        <row r="40">
          <cell r="C40">
            <v>22840.33</v>
          </cell>
          <cell r="F40">
            <v>0</v>
          </cell>
        </row>
        <row r="41">
          <cell r="F41">
            <v>579128</v>
          </cell>
        </row>
        <row r="42">
          <cell r="C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zedszkola"/>
      <sheetName val="szkoły podstawowe"/>
      <sheetName val="gimnazja"/>
      <sheetName val="zakłady budżetowe"/>
      <sheetName val="bilans zbiorczy-grosze"/>
      <sheetName val="zbiorczy tysiące zakł"/>
      <sheetName val="bilans zbiorczy-grosze jednostk"/>
      <sheetName val="jednostki budżetowe"/>
      <sheetName val="bilans UM-grosze"/>
      <sheetName val="UM- tysiące "/>
      <sheetName val="zbiorczy tysiące jednostki"/>
      <sheetName val="bilans skonsolidowany"/>
      <sheetName val="Arkusz2"/>
      <sheetName val="Arkusz3"/>
    </sheetNames>
    <sheetDataSet>
      <sheetData sheetId="3">
        <row r="17">
          <cell r="L17">
            <v>0</v>
          </cell>
        </row>
        <row r="18">
          <cell r="L18">
            <v>0</v>
          </cell>
          <cell r="M18">
            <v>0</v>
          </cell>
        </row>
        <row r="23">
          <cell r="L23">
            <v>0</v>
          </cell>
          <cell r="M23">
            <v>0</v>
          </cell>
        </row>
        <row r="24">
          <cell r="L24">
            <v>0</v>
          </cell>
          <cell r="M24">
            <v>0</v>
          </cell>
        </row>
        <row r="29">
          <cell r="L29">
            <v>0</v>
          </cell>
          <cell r="M29">
            <v>0</v>
          </cell>
        </row>
        <row r="31">
          <cell r="L31">
            <v>0</v>
          </cell>
          <cell r="M31">
            <v>0</v>
          </cell>
        </row>
        <row r="36">
          <cell r="L36">
            <v>0</v>
          </cell>
          <cell r="M36">
            <v>0</v>
          </cell>
        </row>
        <row r="37">
          <cell r="L37">
            <v>0</v>
          </cell>
          <cell r="M37">
            <v>0</v>
          </cell>
        </row>
        <row r="38">
          <cell r="L38">
            <v>0</v>
          </cell>
          <cell r="M38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  <row r="53">
          <cell r="L53">
            <v>0</v>
          </cell>
          <cell r="M53">
            <v>0</v>
          </cell>
        </row>
        <row r="54">
          <cell r="L54">
            <v>0</v>
          </cell>
          <cell r="M54">
            <v>0</v>
          </cell>
        </row>
        <row r="55">
          <cell r="L55">
            <v>0</v>
          </cell>
          <cell r="M55">
            <v>0</v>
          </cell>
        </row>
        <row r="64">
          <cell r="L64">
            <v>0</v>
          </cell>
          <cell r="M64">
            <v>0</v>
          </cell>
        </row>
        <row r="65">
          <cell r="L65">
            <v>0</v>
          </cell>
          <cell r="M65">
            <v>10901.82</v>
          </cell>
        </row>
        <row r="70">
          <cell r="L70">
            <v>0</v>
          </cell>
          <cell r="M70">
            <v>0</v>
          </cell>
        </row>
        <row r="71">
          <cell r="L71">
            <v>0</v>
          </cell>
          <cell r="M71">
            <v>0</v>
          </cell>
        </row>
        <row r="72">
          <cell r="L72">
            <v>0</v>
          </cell>
          <cell r="M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SheetLayoutView="100" workbookViewId="0" topLeftCell="A1">
      <selection activeCell="D91" sqref="D91"/>
    </sheetView>
  </sheetViews>
  <sheetFormatPr defaultColWidth="9.140625" defaultRowHeight="12.75"/>
  <cols>
    <col min="1" max="1" width="19.28125" style="0" customWidth="1"/>
    <col min="2" max="2" width="12.140625" style="0" customWidth="1"/>
    <col min="3" max="3" width="11.421875" style="0" customWidth="1"/>
    <col min="4" max="4" width="19.00390625" style="0" customWidth="1"/>
    <col min="5" max="5" width="11.8515625" style="0" customWidth="1"/>
    <col min="6" max="6" width="13.00390625" style="0" customWidth="1"/>
  </cols>
  <sheetData>
    <row r="1" spans="1:6" ht="12.75">
      <c r="A1" s="113" t="s">
        <v>0</v>
      </c>
      <c r="B1" s="114"/>
      <c r="C1" s="117" t="s">
        <v>113</v>
      </c>
      <c r="D1" s="118"/>
      <c r="E1" s="113" t="s">
        <v>1</v>
      </c>
      <c r="F1" s="123"/>
    </row>
    <row r="2" spans="1:6" ht="24.75" customHeight="1">
      <c r="A2" s="115"/>
      <c r="B2" s="116"/>
      <c r="C2" s="119"/>
      <c r="D2" s="120"/>
      <c r="E2" s="124"/>
      <c r="F2" s="125"/>
    </row>
    <row r="3" spans="1:6" ht="12.75">
      <c r="A3" s="126" t="s">
        <v>2</v>
      </c>
      <c r="B3" s="127"/>
      <c r="C3" s="119"/>
      <c r="D3" s="120"/>
      <c r="E3" s="113" t="s">
        <v>3</v>
      </c>
      <c r="F3" s="114"/>
    </row>
    <row r="4" spans="1:6" ht="12.75">
      <c r="A4" s="128" t="s">
        <v>4</v>
      </c>
      <c r="B4" s="129"/>
      <c r="C4" s="121"/>
      <c r="D4" s="122"/>
      <c r="E4" s="115"/>
      <c r="F4" s="116"/>
    </row>
    <row r="5" spans="1:6" ht="1.5" customHeight="1">
      <c r="A5" s="1"/>
      <c r="B5" s="1"/>
      <c r="C5" s="2"/>
      <c r="D5" s="2"/>
      <c r="E5" s="3"/>
      <c r="F5" s="3"/>
    </row>
    <row r="6" spans="1:6" ht="12.75">
      <c r="A6" s="111" t="s">
        <v>5</v>
      </c>
      <c r="B6" s="112" t="s">
        <v>6</v>
      </c>
      <c r="C6" s="112"/>
      <c r="D6" s="111" t="s">
        <v>7</v>
      </c>
      <c r="E6" s="112" t="s">
        <v>8</v>
      </c>
      <c r="F6" s="112"/>
    </row>
    <row r="7" spans="1:6" ht="12.75">
      <c r="A7" s="111"/>
      <c r="B7" s="4" t="s">
        <v>9</v>
      </c>
      <c r="C7" s="4" t="s">
        <v>10</v>
      </c>
      <c r="D7" s="111"/>
      <c r="E7" s="4" t="s">
        <v>9</v>
      </c>
      <c r="F7" s="4" t="s">
        <v>10</v>
      </c>
    </row>
    <row r="8" spans="1:6" ht="12.75">
      <c r="A8" s="5" t="s">
        <v>11</v>
      </c>
      <c r="B8" s="6">
        <f>B9+B14+B23+B26+B41</f>
        <v>2391712.2</v>
      </c>
      <c r="C8" s="6">
        <f>C9+C14+C23+C26+C41</f>
        <v>2313269.4499999997</v>
      </c>
      <c r="D8" s="7" t="s">
        <v>12</v>
      </c>
      <c r="E8" s="6">
        <f>E9+E10+E11+E12+E13+E14+E15+E16</f>
        <v>991188.94</v>
      </c>
      <c r="F8" s="6">
        <f>F9+F10+F11+F12+F13+F14+F15+F16</f>
        <v>1919061.07</v>
      </c>
    </row>
    <row r="9" spans="1:6" ht="21">
      <c r="A9" s="8" t="s">
        <v>13</v>
      </c>
      <c r="B9" s="9"/>
      <c r="C9" s="9"/>
      <c r="D9" s="8" t="s">
        <v>14</v>
      </c>
      <c r="E9" s="10">
        <f>730686-40.93</f>
        <v>730645.07</v>
      </c>
      <c r="F9" s="10">
        <f>1907878.32+379.32</f>
        <v>1908257.6400000001</v>
      </c>
    </row>
    <row r="10" spans="1:6" ht="21">
      <c r="A10" s="8" t="s">
        <v>15</v>
      </c>
      <c r="B10" s="9"/>
      <c r="C10" s="9"/>
      <c r="D10" s="8" t="s">
        <v>16</v>
      </c>
      <c r="E10" s="11"/>
      <c r="F10" s="11">
        <v>0</v>
      </c>
    </row>
    <row r="11" spans="1:6" ht="21">
      <c r="A11" s="12" t="s">
        <v>17</v>
      </c>
      <c r="B11" s="10"/>
      <c r="C11" s="10"/>
      <c r="D11" s="8" t="s">
        <v>18</v>
      </c>
      <c r="E11" s="10"/>
      <c r="F11" s="10"/>
    </row>
    <row r="12" spans="1:6" ht="21">
      <c r="A12" s="8" t="s">
        <v>19</v>
      </c>
      <c r="B12" s="10"/>
      <c r="C12" s="10"/>
      <c r="D12" s="8" t="s">
        <v>20</v>
      </c>
      <c r="E12" s="10"/>
      <c r="F12" s="10"/>
    </row>
    <row r="13" spans="1:6" ht="21">
      <c r="A13" s="8" t="s">
        <v>21</v>
      </c>
      <c r="B13" s="10"/>
      <c r="C13" s="10"/>
      <c r="D13" s="8" t="s">
        <v>22</v>
      </c>
      <c r="E13" s="13"/>
      <c r="F13" s="13"/>
    </row>
    <row r="14" spans="1:6" ht="21">
      <c r="A14" s="8" t="s">
        <v>23</v>
      </c>
      <c r="B14" s="10">
        <f>B15</f>
        <v>2391712.2</v>
      </c>
      <c r="C14" s="10">
        <f>C15</f>
        <v>2313269.4499999997</v>
      </c>
      <c r="D14" s="8" t="s">
        <v>24</v>
      </c>
      <c r="E14" s="13"/>
      <c r="F14" s="13"/>
    </row>
    <row r="15" spans="1:6" ht="12.75">
      <c r="A15" s="8" t="s">
        <v>25</v>
      </c>
      <c r="B15" s="10">
        <f>B16+B17+B18+B19+B20</f>
        <v>2391712.2</v>
      </c>
      <c r="C15" s="10">
        <f>C16+C17+C18+C19+C20</f>
        <v>2313269.4499999997</v>
      </c>
      <c r="D15" s="8" t="s">
        <v>26</v>
      </c>
      <c r="E15" s="13"/>
      <c r="F15" s="13"/>
    </row>
    <row r="16" spans="1:6" ht="31.5">
      <c r="A16" s="8" t="s">
        <v>27</v>
      </c>
      <c r="B16" s="10">
        <v>499</v>
      </c>
      <c r="C16" s="10">
        <v>499</v>
      </c>
      <c r="D16" s="8" t="s">
        <v>28</v>
      </c>
      <c r="E16" s="10">
        <f>260124.67+419.2</f>
        <v>260543.87000000002</v>
      </c>
      <c r="F16" s="10">
        <f>10813.69-10.26</f>
        <v>10803.43</v>
      </c>
    </row>
    <row r="17" spans="1:6" ht="31.5">
      <c r="A17" s="8" t="s">
        <v>29</v>
      </c>
      <c r="B17" s="10">
        <v>2235356.43</v>
      </c>
      <c r="C17" s="10">
        <v>2172232.53</v>
      </c>
      <c r="D17" s="8" t="s">
        <v>30</v>
      </c>
      <c r="E17" s="14"/>
      <c r="F17" s="14"/>
    </row>
    <row r="18" spans="1:6" ht="21">
      <c r="A18" s="8" t="s">
        <v>31</v>
      </c>
      <c r="B18" s="10">
        <v>113870.58</v>
      </c>
      <c r="C18" s="10">
        <v>100045.55</v>
      </c>
      <c r="D18" s="15" t="s">
        <v>32</v>
      </c>
      <c r="E18" s="6">
        <f>E19+E27+E34+E53</f>
        <v>1480936.07</v>
      </c>
      <c r="F18" s="6">
        <f>F19+F27+F34+F53</f>
        <v>414178.06</v>
      </c>
    </row>
    <row r="19" spans="1:6" ht="12.75">
      <c r="A19" s="8" t="s">
        <v>33</v>
      </c>
      <c r="B19" s="16"/>
      <c r="C19" s="16"/>
      <c r="D19" s="8" t="s">
        <v>34</v>
      </c>
      <c r="E19" s="10"/>
      <c r="F19" s="10"/>
    </row>
    <row r="20" spans="1:6" ht="31.5">
      <c r="A20" s="8" t="s">
        <v>35</v>
      </c>
      <c r="B20" s="10">
        <v>41986.19</v>
      </c>
      <c r="C20" s="10">
        <v>40492.37</v>
      </c>
      <c r="D20" s="8" t="s">
        <v>36</v>
      </c>
      <c r="E20" s="14"/>
      <c r="F20" s="14"/>
    </row>
    <row r="21" spans="1:6" ht="21">
      <c r="A21" s="8" t="s">
        <v>37</v>
      </c>
      <c r="B21" s="10"/>
      <c r="C21" s="10"/>
      <c r="D21" s="8" t="s">
        <v>38</v>
      </c>
      <c r="E21" s="14"/>
      <c r="F21" s="14"/>
    </row>
    <row r="22" spans="1:6" ht="21">
      <c r="A22" s="8" t="s">
        <v>39</v>
      </c>
      <c r="B22" s="10"/>
      <c r="C22" s="10"/>
      <c r="D22" s="17" t="s">
        <v>40</v>
      </c>
      <c r="E22" s="13"/>
      <c r="F22" s="13"/>
    </row>
    <row r="23" spans="1:6" ht="12.75">
      <c r="A23" s="8" t="s">
        <v>41</v>
      </c>
      <c r="B23" s="10"/>
      <c r="C23" s="10"/>
      <c r="D23" s="17" t="s">
        <v>42</v>
      </c>
      <c r="E23" s="10"/>
      <c r="F23" s="10"/>
    </row>
    <row r="24" spans="1:6" ht="12.75">
      <c r="A24" s="8" t="s">
        <v>43</v>
      </c>
      <c r="B24" s="9"/>
      <c r="C24" s="9"/>
      <c r="D24" s="17" t="s">
        <v>44</v>
      </c>
      <c r="E24" s="10"/>
      <c r="F24" s="10"/>
    </row>
    <row r="25" spans="1:6" ht="12.75">
      <c r="A25" s="8" t="s">
        <v>45</v>
      </c>
      <c r="B25" s="10"/>
      <c r="C25" s="10"/>
      <c r="D25" s="17" t="s">
        <v>40</v>
      </c>
      <c r="E25" s="10"/>
      <c r="F25" s="10"/>
    </row>
    <row r="26" spans="1:6" ht="12.75">
      <c r="A26" s="8" t="s">
        <v>46</v>
      </c>
      <c r="B26" s="9"/>
      <c r="C26" s="9"/>
      <c r="D26" s="17" t="s">
        <v>42</v>
      </c>
      <c r="E26" s="10"/>
      <c r="F26" s="10"/>
    </row>
    <row r="27" spans="1:6" ht="21">
      <c r="A27" s="8" t="s">
        <v>47</v>
      </c>
      <c r="B27" s="10"/>
      <c r="C27" s="10"/>
      <c r="D27" s="8" t="s">
        <v>48</v>
      </c>
      <c r="E27" s="10">
        <f>E28+E29</f>
        <v>443508</v>
      </c>
      <c r="F27" s="10">
        <f>F28+F29</f>
        <v>399157.2</v>
      </c>
    </row>
    <row r="28" spans="1:6" ht="21">
      <c r="A28" s="8" t="s">
        <v>49</v>
      </c>
      <c r="B28" s="10"/>
      <c r="C28" s="10"/>
      <c r="D28" s="8" t="s">
        <v>50</v>
      </c>
      <c r="E28" s="10"/>
      <c r="F28" s="10"/>
    </row>
    <row r="29" spans="1:6" ht="21">
      <c r="A29" s="8" t="s">
        <v>51</v>
      </c>
      <c r="B29" s="10"/>
      <c r="C29" s="10"/>
      <c r="D29" s="8" t="s">
        <v>52</v>
      </c>
      <c r="E29" s="10">
        <f>E30+E31+E32+E33</f>
        <v>443508</v>
      </c>
      <c r="F29" s="10">
        <f>F30+F31+F32+F33</f>
        <v>399157.2</v>
      </c>
    </row>
    <row r="30" spans="1:6" ht="12.75">
      <c r="A30" s="8" t="s">
        <v>53</v>
      </c>
      <c r="B30" s="10"/>
      <c r="C30" s="10"/>
      <c r="D30" s="8" t="s">
        <v>54</v>
      </c>
      <c r="E30" s="10">
        <v>443508</v>
      </c>
      <c r="F30" s="10">
        <v>399157.2</v>
      </c>
    </row>
    <row r="31" spans="1:6" ht="21">
      <c r="A31" s="17" t="s">
        <v>55</v>
      </c>
      <c r="B31" s="9"/>
      <c r="C31" s="9"/>
      <c r="D31" s="8" t="s">
        <v>56</v>
      </c>
      <c r="E31" s="13"/>
      <c r="F31" s="13"/>
    </row>
    <row r="32" spans="1:6" ht="12.75">
      <c r="A32" s="17" t="s">
        <v>57</v>
      </c>
      <c r="B32" s="10"/>
      <c r="C32" s="10"/>
      <c r="D32" s="8" t="s">
        <v>58</v>
      </c>
      <c r="E32" s="10"/>
      <c r="F32" s="10"/>
    </row>
    <row r="33" spans="1:6" ht="12.75">
      <c r="A33" s="17" t="s">
        <v>59</v>
      </c>
      <c r="B33" s="10"/>
      <c r="C33" s="10"/>
      <c r="D33" s="8" t="s">
        <v>60</v>
      </c>
      <c r="E33" s="10"/>
      <c r="F33" s="10"/>
    </row>
    <row r="34" spans="1:6" ht="21">
      <c r="A34" s="17" t="s">
        <v>61</v>
      </c>
      <c r="B34" s="10"/>
      <c r="C34" s="10"/>
      <c r="D34" s="8" t="s">
        <v>62</v>
      </c>
      <c r="E34" s="10">
        <f>E35+E40+E52</f>
        <v>1037428.0700000001</v>
      </c>
      <c r="F34" s="10">
        <f>F35+F40+F52</f>
        <v>15020.859999999999</v>
      </c>
    </row>
    <row r="35" spans="1:6" ht="21">
      <c r="A35" s="8" t="s">
        <v>63</v>
      </c>
      <c r="B35" s="10"/>
      <c r="C35" s="10"/>
      <c r="D35" s="8" t="s">
        <v>50</v>
      </c>
      <c r="E35" s="9">
        <f>E36+E39</f>
        <v>129.1</v>
      </c>
      <c r="F35" s="9">
        <f>F36+F39</f>
        <v>119.88</v>
      </c>
    </row>
    <row r="36" spans="1:6" ht="21">
      <c r="A36" s="17" t="s">
        <v>55</v>
      </c>
      <c r="B36" s="10"/>
      <c r="C36" s="10"/>
      <c r="D36" s="8" t="s">
        <v>64</v>
      </c>
      <c r="E36" s="9">
        <f>E37+E38</f>
        <v>129.1</v>
      </c>
      <c r="F36" s="9">
        <f>F37+F38</f>
        <v>119.88</v>
      </c>
    </row>
    <row r="37" spans="1:6" ht="12.75">
      <c r="A37" s="17" t="s">
        <v>57</v>
      </c>
      <c r="B37" s="9"/>
      <c r="C37" s="9"/>
      <c r="D37" s="18" t="s">
        <v>65</v>
      </c>
      <c r="E37" s="10">
        <v>129.1</v>
      </c>
      <c r="F37" s="10">
        <v>119.88</v>
      </c>
    </row>
    <row r="38" spans="1:6" ht="12.75">
      <c r="A38" s="17" t="s">
        <v>59</v>
      </c>
      <c r="B38" s="10"/>
      <c r="C38" s="10"/>
      <c r="D38" s="18" t="s">
        <v>66</v>
      </c>
      <c r="E38" s="10"/>
      <c r="F38" s="10"/>
    </row>
    <row r="39" spans="1:6" ht="21">
      <c r="A39" s="17" t="s">
        <v>61</v>
      </c>
      <c r="B39" s="10"/>
      <c r="C39" s="10"/>
      <c r="D39" s="19" t="s">
        <v>67</v>
      </c>
      <c r="E39" s="10"/>
      <c r="F39" s="10"/>
    </row>
    <row r="40" spans="1:6" ht="21">
      <c r="A40" s="8" t="s">
        <v>68</v>
      </c>
      <c r="B40" s="10"/>
      <c r="C40" s="10"/>
      <c r="D40" s="8" t="s">
        <v>69</v>
      </c>
      <c r="E40" s="10">
        <f>E41+E42+E43+E44+E47+E48+E49+E50+E51</f>
        <v>1037091.04</v>
      </c>
      <c r="F40" s="10">
        <f>F41+F42+F43+F44+F47+F48+F49+F50+F51</f>
        <v>14148.92</v>
      </c>
    </row>
    <row r="41" spans="1:6" ht="21">
      <c r="A41" s="8" t="s">
        <v>70</v>
      </c>
      <c r="B41" s="9"/>
      <c r="C41" s="9"/>
      <c r="D41" s="19" t="s">
        <v>54</v>
      </c>
      <c r="E41" s="10">
        <v>1026000</v>
      </c>
      <c r="F41" s="10"/>
    </row>
    <row r="42" spans="1:6" ht="21">
      <c r="A42" s="8" t="s">
        <v>71</v>
      </c>
      <c r="B42" s="9"/>
      <c r="C42" s="9"/>
      <c r="D42" s="8" t="s">
        <v>72</v>
      </c>
      <c r="E42" s="10"/>
      <c r="F42" s="10"/>
    </row>
    <row r="43" spans="1:6" ht="21">
      <c r="A43" s="8" t="s">
        <v>73</v>
      </c>
      <c r="B43" s="10"/>
      <c r="C43" s="10"/>
      <c r="D43" s="8" t="s">
        <v>74</v>
      </c>
      <c r="E43" s="10"/>
      <c r="F43" s="10"/>
    </row>
    <row r="44" spans="1:6" ht="21">
      <c r="A44" s="20" t="s">
        <v>75</v>
      </c>
      <c r="B44" s="6">
        <f>B45+B51+B64+B81</f>
        <v>80412.81</v>
      </c>
      <c r="C44" s="6">
        <f>C45+C51+C64+C81</f>
        <v>19969.68</v>
      </c>
      <c r="D44" s="8" t="s">
        <v>76</v>
      </c>
      <c r="E44" s="10">
        <f>E45</f>
        <v>11091.04</v>
      </c>
      <c r="F44" s="10">
        <f>F45</f>
        <v>14148.92</v>
      </c>
    </row>
    <row r="45" spans="1:6" ht="12.75">
      <c r="A45" s="19" t="s">
        <v>77</v>
      </c>
      <c r="B45" s="10">
        <f>B46+B47+B48+B49+B50</f>
        <v>10232.11</v>
      </c>
      <c r="C45" s="10">
        <v>7149.26</v>
      </c>
      <c r="D45" s="18" t="s">
        <v>65</v>
      </c>
      <c r="E45" s="10">
        <v>11091.04</v>
      </c>
      <c r="F45" s="10">
        <v>14148.92</v>
      </c>
    </row>
    <row r="46" spans="1:6" ht="12.75">
      <c r="A46" s="19" t="s">
        <v>78</v>
      </c>
      <c r="B46" s="21">
        <v>122.11</v>
      </c>
      <c r="C46" s="21">
        <v>39.26</v>
      </c>
      <c r="D46" s="18" t="s">
        <v>66</v>
      </c>
      <c r="E46" s="10"/>
      <c r="F46" s="10"/>
    </row>
    <row r="47" spans="1:6" ht="21">
      <c r="A47" s="19" t="s">
        <v>79</v>
      </c>
      <c r="B47" s="10"/>
      <c r="C47" s="10"/>
      <c r="D47" s="8" t="s">
        <v>80</v>
      </c>
      <c r="E47" s="10"/>
      <c r="F47" s="10"/>
    </row>
    <row r="48" spans="1:6" ht="12.75">
      <c r="A48" s="19" t="s">
        <v>81</v>
      </c>
      <c r="B48" s="10"/>
      <c r="C48" s="10"/>
      <c r="D48" s="19" t="s">
        <v>82</v>
      </c>
      <c r="E48" s="10"/>
      <c r="F48" s="10"/>
    </row>
    <row r="49" spans="1:6" ht="21">
      <c r="A49" s="19" t="s">
        <v>83</v>
      </c>
      <c r="B49" s="10">
        <v>10110</v>
      </c>
      <c r="C49" s="10">
        <v>7110</v>
      </c>
      <c r="D49" s="8" t="s">
        <v>84</v>
      </c>
      <c r="E49" s="10">
        <v>0</v>
      </c>
      <c r="F49" s="10">
        <v>0</v>
      </c>
    </row>
    <row r="50" spans="1:6" ht="12.75">
      <c r="A50" s="19" t="s">
        <v>85</v>
      </c>
      <c r="B50" s="10"/>
      <c r="C50" s="10"/>
      <c r="D50" s="19" t="s">
        <v>86</v>
      </c>
      <c r="E50" s="10"/>
      <c r="F50" s="10"/>
    </row>
    <row r="51" spans="1:6" ht="12.75">
      <c r="A51" s="19" t="s">
        <v>87</v>
      </c>
      <c r="B51" s="10">
        <f>B52+B57</f>
        <v>30603.18</v>
      </c>
      <c r="C51" s="10">
        <f>C52+C57</f>
        <v>2972.7</v>
      </c>
      <c r="D51" s="19" t="s">
        <v>88</v>
      </c>
      <c r="E51" s="10">
        <v>0</v>
      </c>
      <c r="F51" s="10">
        <v>0</v>
      </c>
    </row>
    <row r="52" spans="1:6" ht="21">
      <c r="A52" s="8" t="s">
        <v>89</v>
      </c>
      <c r="B52" s="10">
        <f>B53+B56</f>
        <v>2061.79</v>
      </c>
      <c r="C52" s="10">
        <f>C53+C56</f>
        <v>765.95</v>
      </c>
      <c r="D52" s="19" t="s">
        <v>90</v>
      </c>
      <c r="E52" s="10">
        <f>195.17+12.76</f>
        <v>207.92999999999998</v>
      </c>
      <c r="F52" s="10">
        <f>584.16+167.9</f>
        <v>752.06</v>
      </c>
    </row>
    <row r="53" spans="1:6" ht="21">
      <c r="A53" s="8" t="s">
        <v>91</v>
      </c>
      <c r="B53" s="10">
        <f>B54+B55</f>
        <v>2061.79</v>
      </c>
      <c r="C53" s="10">
        <f>C54+C55</f>
        <v>765.95</v>
      </c>
      <c r="D53" s="8" t="s">
        <v>92</v>
      </c>
      <c r="E53" s="21"/>
      <c r="F53" s="21"/>
    </row>
    <row r="54" spans="1:6" ht="12.75">
      <c r="A54" s="18" t="s">
        <v>65</v>
      </c>
      <c r="B54" s="10">
        <v>2061.79</v>
      </c>
      <c r="C54" s="10">
        <v>765.95</v>
      </c>
      <c r="D54" s="19" t="s">
        <v>93</v>
      </c>
      <c r="E54" s="21"/>
      <c r="F54" s="21"/>
    </row>
    <row r="55" spans="1:6" ht="21">
      <c r="A55" s="18" t="s">
        <v>66</v>
      </c>
      <c r="B55" s="10"/>
      <c r="C55" s="10"/>
      <c r="D55" s="8" t="s">
        <v>73</v>
      </c>
      <c r="E55" s="21"/>
      <c r="F55" s="21"/>
    </row>
    <row r="56" spans="1:6" ht="12.75">
      <c r="A56" s="19" t="s">
        <v>67</v>
      </c>
      <c r="B56" s="10"/>
      <c r="C56" s="10"/>
      <c r="D56" s="18" t="s">
        <v>40</v>
      </c>
      <c r="E56" s="21"/>
      <c r="F56" s="21"/>
    </row>
    <row r="57" spans="1:6" ht="21">
      <c r="A57" s="8" t="s">
        <v>94</v>
      </c>
      <c r="B57" s="10">
        <f>B58+B61+B62+B63</f>
        <v>28541.39</v>
      </c>
      <c r="C57" s="10">
        <f>C58+C61+C62+C63</f>
        <v>2206.75</v>
      </c>
      <c r="D57" s="18" t="s">
        <v>42</v>
      </c>
      <c r="E57" s="21"/>
      <c r="F57" s="21"/>
    </row>
    <row r="58" spans="1:6" ht="21">
      <c r="A58" s="8" t="s">
        <v>91</v>
      </c>
      <c r="B58" s="10">
        <f>B59+B60</f>
        <v>0</v>
      </c>
      <c r="C58" s="10">
        <f>C59+C60</f>
        <v>0</v>
      </c>
      <c r="D58" s="19"/>
      <c r="E58" s="21"/>
      <c r="F58" s="21"/>
    </row>
    <row r="59" spans="1:6" ht="12.75">
      <c r="A59" s="18" t="s">
        <v>65</v>
      </c>
      <c r="B59" s="10"/>
      <c r="C59" s="10"/>
      <c r="D59" s="19"/>
      <c r="E59" s="21"/>
      <c r="F59" s="21"/>
    </row>
    <row r="60" spans="1:6" ht="12.75">
      <c r="A60" s="18" t="s">
        <v>66</v>
      </c>
      <c r="B60" s="10"/>
      <c r="C60" s="10"/>
      <c r="D60" s="19"/>
      <c r="E60" s="21"/>
      <c r="F60" s="21"/>
    </row>
    <row r="61" spans="1:6" ht="31.5">
      <c r="A61" s="8" t="s">
        <v>95</v>
      </c>
      <c r="B61" s="10">
        <v>28541.39</v>
      </c>
      <c r="C61" s="10">
        <v>2206.75</v>
      </c>
      <c r="D61" s="19"/>
      <c r="E61" s="21"/>
      <c r="F61" s="21"/>
    </row>
    <row r="62" spans="1:6" ht="12.75">
      <c r="A62" s="19" t="s">
        <v>96</v>
      </c>
      <c r="B62" s="10"/>
      <c r="C62" s="10"/>
      <c r="D62" s="19"/>
      <c r="E62" s="21"/>
      <c r="F62" s="21"/>
    </row>
    <row r="63" spans="1:6" ht="12.75">
      <c r="A63" s="19" t="s">
        <v>97</v>
      </c>
      <c r="B63" s="10"/>
      <c r="C63" s="10"/>
      <c r="D63" s="19"/>
      <c r="E63" s="21"/>
      <c r="F63" s="21"/>
    </row>
    <row r="64" spans="1:6" ht="12.75">
      <c r="A64" s="19" t="s">
        <v>98</v>
      </c>
      <c r="B64" s="10">
        <f>B65+B80</f>
        <v>39577.52</v>
      </c>
      <c r="C64" s="10">
        <f>C65+C80</f>
        <v>9847.72</v>
      </c>
      <c r="D64" s="19"/>
      <c r="E64" s="21"/>
      <c r="F64" s="21"/>
    </row>
    <row r="65" spans="1:6" ht="21">
      <c r="A65" s="8" t="s">
        <v>99</v>
      </c>
      <c r="B65" s="10">
        <f>B66+B71+B76</f>
        <v>39577.52</v>
      </c>
      <c r="C65" s="10">
        <f>C66+C71+C76</f>
        <v>9847.72</v>
      </c>
      <c r="D65" s="19"/>
      <c r="E65" s="21"/>
      <c r="F65" s="21"/>
    </row>
    <row r="66" spans="1:6" ht="12.75">
      <c r="A66" s="19" t="s">
        <v>53</v>
      </c>
      <c r="B66" s="10"/>
      <c r="C66" s="10"/>
      <c r="D66" s="19"/>
      <c r="E66" s="21"/>
      <c r="F66" s="21"/>
    </row>
    <row r="67" spans="1:6" ht="12.75">
      <c r="A67" s="17" t="s">
        <v>55</v>
      </c>
      <c r="B67" s="10"/>
      <c r="C67" s="10"/>
      <c r="D67" s="19"/>
      <c r="E67" s="21"/>
      <c r="F67" s="21"/>
    </row>
    <row r="68" spans="1:6" ht="12.75">
      <c r="A68" s="17" t="s">
        <v>57</v>
      </c>
      <c r="B68" s="10"/>
      <c r="C68" s="10"/>
      <c r="D68" s="19"/>
      <c r="E68" s="21"/>
      <c r="F68" s="21"/>
    </row>
    <row r="69" spans="1:6" ht="12.75">
      <c r="A69" s="17" t="s">
        <v>59</v>
      </c>
      <c r="B69" s="10"/>
      <c r="C69" s="10"/>
      <c r="D69" s="19"/>
      <c r="E69" s="21"/>
      <c r="F69" s="21"/>
    </row>
    <row r="70" spans="1:6" ht="21">
      <c r="A70" s="17" t="s">
        <v>100</v>
      </c>
      <c r="B70" s="10"/>
      <c r="C70" s="10"/>
      <c r="D70" s="19"/>
      <c r="E70" s="21"/>
      <c r="F70" s="21"/>
    </row>
    <row r="71" spans="1:6" ht="12.75">
      <c r="A71" s="22" t="s">
        <v>101</v>
      </c>
      <c r="B71" s="10"/>
      <c r="C71" s="10"/>
      <c r="D71" s="19"/>
      <c r="E71" s="21"/>
      <c r="F71" s="21"/>
    </row>
    <row r="72" spans="1:6" ht="12.75">
      <c r="A72" s="17" t="s">
        <v>55</v>
      </c>
      <c r="B72" s="10"/>
      <c r="C72" s="10"/>
      <c r="D72" s="19"/>
      <c r="E72" s="21"/>
      <c r="F72" s="21"/>
    </row>
    <row r="73" spans="1:6" ht="12.75">
      <c r="A73" s="17" t="s">
        <v>57</v>
      </c>
      <c r="B73" s="10"/>
      <c r="C73" s="10"/>
      <c r="D73" s="19"/>
      <c r="E73" s="21"/>
      <c r="F73" s="21"/>
    </row>
    <row r="74" spans="1:6" ht="12.75">
      <c r="A74" s="17" t="s">
        <v>59</v>
      </c>
      <c r="B74" s="10"/>
      <c r="C74" s="10"/>
      <c r="D74" s="19"/>
      <c r="E74" s="21"/>
      <c r="F74" s="21"/>
    </row>
    <row r="75" spans="1:6" ht="21">
      <c r="A75" s="17" t="s">
        <v>100</v>
      </c>
      <c r="B75" s="10"/>
      <c r="C75" s="10"/>
      <c r="D75" s="19"/>
      <c r="E75" s="21"/>
      <c r="F75" s="21"/>
    </row>
    <row r="76" spans="1:6" ht="21">
      <c r="A76" s="22" t="s">
        <v>102</v>
      </c>
      <c r="B76" s="10">
        <f>B77</f>
        <v>39577.52</v>
      </c>
      <c r="C76" s="10">
        <f>C77</f>
        <v>9847.72</v>
      </c>
      <c r="D76" s="19"/>
      <c r="E76" s="21"/>
      <c r="F76" s="21"/>
    </row>
    <row r="77" spans="1:6" ht="21">
      <c r="A77" s="17" t="s">
        <v>103</v>
      </c>
      <c r="B77" s="10">
        <f>39057.39+520.13</f>
        <v>39577.52</v>
      </c>
      <c r="C77" s="10">
        <f>9190.88+656.84</f>
        <v>9847.72</v>
      </c>
      <c r="D77" s="19"/>
      <c r="E77" s="21"/>
      <c r="F77" s="21"/>
    </row>
    <row r="78" spans="1:6" ht="12.75">
      <c r="A78" s="18" t="s">
        <v>104</v>
      </c>
      <c r="B78" s="10"/>
      <c r="C78" s="10"/>
      <c r="D78" s="19"/>
      <c r="E78" s="21"/>
      <c r="F78" s="21"/>
    </row>
    <row r="79" spans="1:6" ht="12.75">
      <c r="A79" s="18" t="s">
        <v>105</v>
      </c>
      <c r="B79" s="10"/>
      <c r="C79" s="10"/>
      <c r="D79" s="19"/>
      <c r="E79" s="21"/>
      <c r="F79" s="21"/>
    </row>
    <row r="80" spans="1:6" ht="21">
      <c r="A80" s="17" t="s">
        <v>106</v>
      </c>
      <c r="B80" s="10"/>
      <c r="C80" s="10"/>
      <c r="D80" s="19"/>
      <c r="E80" s="21"/>
      <c r="F80" s="21"/>
    </row>
    <row r="81" spans="1:6" ht="21">
      <c r="A81" s="17" t="s">
        <v>107</v>
      </c>
      <c r="B81" s="10"/>
      <c r="C81" s="10"/>
      <c r="D81" s="19"/>
      <c r="E81" s="21"/>
      <c r="F81" s="21"/>
    </row>
    <row r="82" spans="1:6" ht="12.75">
      <c r="A82" s="23" t="s">
        <v>108</v>
      </c>
      <c r="B82" s="24">
        <f>B8+B44</f>
        <v>2472125.0100000002</v>
      </c>
      <c r="C82" s="24">
        <f>C8+C44</f>
        <v>2333239.13</v>
      </c>
      <c r="D82" s="7" t="s">
        <v>109</v>
      </c>
      <c r="E82" s="6">
        <f>E8+E18</f>
        <v>2472125.01</v>
      </c>
      <c r="F82" s="6">
        <f>F8+F18</f>
        <v>2333239.13</v>
      </c>
    </row>
    <row r="83" spans="2:3" ht="12.75">
      <c r="B83" s="25"/>
      <c r="C83" s="25"/>
    </row>
    <row r="85" spans="1:5" ht="12.75">
      <c r="A85" s="26" t="s">
        <v>110</v>
      </c>
      <c r="C85" s="26" t="s">
        <v>111</v>
      </c>
      <c r="E85" s="26" t="s">
        <v>112</v>
      </c>
    </row>
    <row r="86" spans="2:3" ht="12.75">
      <c r="B86" s="25"/>
      <c r="C86" s="25"/>
    </row>
  </sheetData>
  <mergeCells count="10">
    <mergeCell ref="A1:B2"/>
    <mergeCell ref="C1:D4"/>
    <mergeCell ref="E1:F2"/>
    <mergeCell ref="A3:B3"/>
    <mergeCell ref="E3:F4"/>
    <mergeCell ref="A4:B4"/>
    <mergeCell ref="A6:A7"/>
    <mergeCell ref="B6:C6"/>
    <mergeCell ref="D6:D7"/>
    <mergeCell ref="E6:F6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4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32">
      <selection activeCell="F35" sqref="F35"/>
    </sheetView>
  </sheetViews>
  <sheetFormatPr defaultColWidth="9.140625" defaultRowHeight="12.75"/>
  <cols>
    <col min="1" max="1" width="18.28125" style="0" customWidth="1"/>
    <col min="2" max="2" width="13.00390625" style="0" customWidth="1"/>
    <col min="3" max="3" width="11.421875" style="0" customWidth="1"/>
    <col min="4" max="4" width="18.140625" style="0" customWidth="1"/>
    <col min="5" max="6" width="11.57421875" style="0" customWidth="1"/>
  </cols>
  <sheetData>
    <row r="1" spans="1:6" ht="12.75">
      <c r="A1" s="94"/>
      <c r="B1" s="94"/>
      <c r="C1" s="94"/>
      <c r="D1" s="94"/>
      <c r="E1" s="94"/>
      <c r="F1" s="94"/>
    </row>
    <row r="2" spans="1:6" ht="12.75">
      <c r="A2" s="161" t="s">
        <v>200</v>
      </c>
      <c r="B2" s="162"/>
      <c r="C2" s="165"/>
      <c r="D2" s="166"/>
      <c r="E2" s="161" t="s">
        <v>264</v>
      </c>
      <c r="F2" s="162"/>
    </row>
    <row r="3" spans="1:6" ht="12.75">
      <c r="A3" s="163"/>
      <c r="B3" s="164"/>
      <c r="C3" s="167" t="s">
        <v>197</v>
      </c>
      <c r="D3" s="168"/>
      <c r="E3" s="163"/>
      <c r="F3" s="164"/>
    </row>
    <row r="4" spans="1:6" ht="12.75">
      <c r="A4" s="163"/>
      <c r="B4" s="164"/>
      <c r="C4" s="169" t="s">
        <v>265</v>
      </c>
      <c r="D4" s="170"/>
      <c r="E4" s="163"/>
      <c r="F4" s="164"/>
    </row>
    <row r="5" spans="1:6" ht="12.75">
      <c r="A5" s="171" t="s">
        <v>202</v>
      </c>
      <c r="B5" s="172"/>
      <c r="C5" s="173"/>
      <c r="D5" s="174"/>
      <c r="E5" s="175" t="s">
        <v>203</v>
      </c>
      <c r="F5" s="176"/>
    </row>
    <row r="6" spans="1:6" ht="12.75">
      <c r="A6" s="181" t="s">
        <v>4</v>
      </c>
      <c r="B6" s="182"/>
      <c r="C6" s="169" t="s">
        <v>293</v>
      </c>
      <c r="D6" s="183"/>
      <c r="E6" s="177"/>
      <c r="F6" s="178"/>
    </row>
    <row r="7" spans="1:6" ht="12.75">
      <c r="A7" s="184"/>
      <c r="B7" s="185"/>
      <c r="C7" s="184"/>
      <c r="D7" s="185"/>
      <c r="E7" s="179"/>
      <c r="F7" s="180"/>
    </row>
    <row r="8" spans="1:6" ht="12.75">
      <c r="A8" s="94"/>
      <c r="B8" s="159"/>
      <c r="C8" s="159"/>
      <c r="D8" s="95"/>
      <c r="E8" s="160"/>
      <c r="F8" s="160"/>
    </row>
    <row r="9" spans="1:6" ht="22.5">
      <c r="A9" s="56" t="s">
        <v>204</v>
      </c>
      <c r="B9" s="96" t="s">
        <v>205</v>
      </c>
      <c r="C9" s="96" t="s">
        <v>206</v>
      </c>
      <c r="D9" s="56" t="s">
        <v>207</v>
      </c>
      <c r="E9" s="96" t="s">
        <v>205</v>
      </c>
      <c r="F9" s="96" t="s">
        <v>206</v>
      </c>
    </row>
    <row r="10" spans="1:6" ht="12.75">
      <c r="A10" s="5" t="s">
        <v>11</v>
      </c>
      <c r="B10" s="6">
        <f>SUM(B11+B12+B21+B22+B26)</f>
        <v>7242889.430000001</v>
      </c>
      <c r="C10" s="6">
        <f>SUM(C11+C12+C21+C22+C26)</f>
        <v>7985642.28</v>
      </c>
      <c r="D10" s="5" t="s">
        <v>208</v>
      </c>
      <c r="E10" s="6">
        <f>SUM(E11+E12+E15+E16+E17+E18)</f>
        <v>7143823.589999999</v>
      </c>
      <c r="F10" s="6">
        <f>SUM(F11+F12+F15+F16+F17+F18)</f>
        <v>7866304.650000001</v>
      </c>
    </row>
    <row r="11" spans="1:6" ht="33.75">
      <c r="A11" s="69" t="s">
        <v>266</v>
      </c>
      <c r="B11" s="97">
        <v>7954.53</v>
      </c>
      <c r="C11" s="97">
        <v>6305.63</v>
      </c>
      <c r="D11" s="69" t="s">
        <v>127</v>
      </c>
      <c r="E11" s="97">
        <f>7829366.49+6246639.64</f>
        <v>14076006.129999999</v>
      </c>
      <c r="F11" s="97">
        <f>8557497.32+6888756.96</f>
        <v>15446254.280000001</v>
      </c>
    </row>
    <row r="12" spans="1:6" ht="22.5">
      <c r="A12" s="69" t="s">
        <v>23</v>
      </c>
      <c r="B12" s="97">
        <f>SUM(B13)</f>
        <v>7234934.9</v>
      </c>
      <c r="C12" s="97">
        <f>SUM(C13+C19+C21)</f>
        <v>7979336.65</v>
      </c>
      <c r="D12" s="69" t="s">
        <v>128</v>
      </c>
      <c r="E12" s="97">
        <f>SUM(E13-E14)</f>
        <v>-6932182.54</v>
      </c>
      <c r="F12" s="97">
        <f>SUM(F13-F14)</f>
        <v>-7579949.63</v>
      </c>
    </row>
    <row r="13" spans="1:6" ht="12.75">
      <c r="A13" s="98" t="s">
        <v>25</v>
      </c>
      <c r="B13" s="97">
        <f>SUM(B14:B20)</f>
        <v>7234934.9</v>
      </c>
      <c r="C13" s="97">
        <f>SUM(C14:C18)</f>
        <v>7979336.65</v>
      </c>
      <c r="D13" s="98" t="s">
        <v>216</v>
      </c>
      <c r="E13" s="97">
        <v>0</v>
      </c>
      <c r="F13" s="97">
        <v>0</v>
      </c>
    </row>
    <row r="14" spans="1:6" ht="12.75">
      <c r="A14" s="98" t="s">
        <v>130</v>
      </c>
      <c r="B14" s="97">
        <v>0</v>
      </c>
      <c r="C14" s="97">
        <f>443315</f>
        <v>443315</v>
      </c>
      <c r="D14" s="98" t="s">
        <v>218</v>
      </c>
      <c r="E14" s="97">
        <f>699337.38+6232845.16</f>
        <v>6932182.54</v>
      </c>
      <c r="F14" s="97">
        <f>656695.8+6923253.83</f>
        <v>7579949.63</v>
      </c>
    </row>
    <row r="15" spans="1:6" ht="33.75">
      <c r="A15" s="98" t="s">
        <v>213</v>
      </c>
      <c r="B15" s="97">
        <f>6613152.65</f>
        <v>6613152.65</v>
      </c>
      <c r="C15" s="97">
        <f>7071589.15</f>
        <v>7071589.15</v>
      </c>
      <c r="D15" s="69" t="s">
        <v>267</v>
      </c>
      <c r="E15" s="97">
        <f>SUM('[2]zakłady budżetowe'!L48)</f>
        <v>0</v>
      </c>
      <c r="F15" s="97">
        <f>SUM('[2]zakłady budżetowe'!M48)</f>
        <v>0</v>
      </c>
    </row>
    <row r="16" spans="1:6" ht="22.5">
      <c r="A16" s="98" t="s">
        <v>134</v>
      </c>
      <c r="B16" s="97">
        <f>554363.27+40089.27</f>
        <v>594452.54</v>
      </c>
      <c r="C16" s="97">
        <f>421705.63+39887.65</f>
        <v>461593.28</v>
      </c>
      <c r="D16" s="69" t="s">
        <v>268</v>
      </c>
      <c r="E16" s="97">
        <f>SUM('[2]zakłady budżetowe'!L49)</f>
        <v>0</v>
      </c>
      <c r="F16" s="97">
        <f>SUM('[2]zakłady budżetowe'!M49)</f>
        <v>0</v>
      </c>
    </row>
    <row r="17" spans="1:6" ht="33.75">
      <c r="A17" s="98" t="s">
        <v>136</v>
      </c>
      <c r="B17" s="97">
        <v>0</v>
      </c>
      <c r="C17" s="97">
        <v>0</v>
      </c>
      <c r="D17" s="69" t="s">
        <v>269</v>
      </c>
      <c r="E17" s="97">
        <f>SUM('[2]zakłady budżetowe'!L50)</f>
        <v>0</v>
      </c>
      <c r="F17" s="97">
        <f>SUM('[2]zakłady budżetowe'!M50)</f>
        <v>0</v>
      </c>
    </row>
    <row r="18" spans="1:6" ht="12.75">
      <c r="A18" s="98" t="s">
        <v>217</v>
      </c>
      <c r="B18" s="97">
        <f>3641.23+23688.48</f>
        <v>27329.71</v>
      </c>
      <c r="C18" s="97">
        <f>2839.22</f>
        <v>2839.22</v>
      </c>
      <c r="D18" s="69" t="s">
        <v>270</v>
      </c>
      <c r="E18" s="97">
        <f>SUM('[2]zakłady budżetowe'!L51)</f>
        <v>0</v>
      </c>
      <c r="F18" s="97">
        <f>SUM('[2]zakłady budżetowe'!M51)</f>
        <v>0</v>
      </c>
    </row>
    <row r="19" spans="1:6" ht="33.75">
      <c r="A19" s="98" t="s">
        <v>140</v>
      </c>
      <c r="B19" s="97">
        <v>0</v>
      </c>
      <c r="C19" s="97">
        <v>0</v>
      </c>
      <c r="D19" s="69" t="s">
        <v>271</v>
      </c>
      <c r="E19" s="6">
        <f>SUM(E20+E21)</f>
        <v>0</v>
      </c>
      <c r="F19" s="6">
        <f>SUM(F20+F21)</f>
        <v>0</v>
      </c>
    </row>
    <row r="20" spans="1:6" ht="22.5">
      <c r="A20" s="98" t="s">
        <v>272</v>
      </c>
      <c r="B20" s="97">
        <v>0</v>
      </c>
      <c r="C20" s="97">
        <v>0</v>
      </c>
      <c r="D20" s="98" t="s">
        <v>273</v>
      </c>
      <c r="E20" s="97">
        <f>SUM('[2]zakłady budżetowe'!L53)</f>
        <v>0</v>
      </c>
      <c r="F20" s="97">
        <f>SUM('[2]zakłady budżetowe'!M53)</f>
        <v>0</v>
      </c>
    </row>
    <row r="21" spans="1:6" ht="22.5">
      <c r="A21" s="69" t="s">
        <v>274</v>
      </c>
      <c r="B21" s="97">
        <v>0</v>
      </c>
      <c r="C21" s="97">
        <v>0</v>
      </c>
      <c r="D21" s="98" t="s">
        <v>275</v>
      </c>
      <c r="E21" s="97">
        <f>SUM('[2]zakłady budżetowe'!L54)</f>
        <v>0</v>
      </c>
      <c r="F21" s="97">
        <f>SUM('[2]zakłady budżetowe'!M54)</f>
        <v>0</v>
      </c>
    </row>
    <row r="22" spans="1:6" ht="22.5">
      <c r="A22" s="69" t="s">
        <v>276</v>
      </c>
      <c r="B22" s="97">
        <f>SUM(B23:B25)</f>
        <v>0</v>
      </c>
      <c r="C22" s="97">
        <f>SUM(C23:C25)</f>
        <v>0</v>
      </c>
      <c r="D22" s="69" t="s">
        <v>277</v>
      </c>
      <c r="E22" s="97">
        <f>SUM('[2]zakłady budżetowe'!L55)</f>
        <v>0</v>
      </c>
      <c r="F22" s="97">
        <f>SUM('[2]zakłady budżetowe'!M55)</f>
        <v>0</v>
      </c>
    </row>
    <row r="23" spans="1:6" ht="33.75">
      <c r="A23" s="98" t="s">
        <v>223</v>
      </c>
      <c r="B23" s="97">
        <v>0</v>
      </c>
      <c r="C23" s="97">
        <v>0</v>
      </c>
      <c r="D23" s="69" t="s">
        <v>278</v>
      </c>
      <c r="E23" s="6">
        <f>SUM(E24+E33)</f>
        <v>137747.88000000003</v>
      </c>
      <c r="F23" s="6">
        <f>SUM(F24+F33)</f>
        <v>151629.44</v>
      </c>
    </row>
    <row r="24" spans="1:6" ht="33.75">
      <c r="A24" s="98" t="s">
        <v>149</v>
      </c>
      <c r="B24" s="97">
        <f>SUM('[2]zakłady budżetowe'!L17)</f>
        <v>0</v>
      </c>
      <c r="C24" s="97">
        <v>0</v>
      </c>
      <c r="D24" s="98" t="s">
        <v>156</v>
      </c>
      <c r="E24" s="99">
        <f>SUM(E25:E32)</f>
        <v>133986.78000000003</v>
      </c>
      <c r="F24" s="99">
        <f>SUM(F25:F32)</f>
        <v>146754.53</v>
      </c>
    </row>
    <row r="25" spans="1:6" ht="22.5">
      <c r="A25" s="98" t="s">
        <v>151</v>
      </c>
      <c r="B25" s="97">
        <f>SUM('[2]zakłady budżetowe'!L18)</f>
        <v>0</v>
      </c>
      <c r="C25" s="97">
        <f>SUM('[2]zakłady budżetowe'!M18)</f>
        <v>0</v>
      </c>
      <c r="D25" s="98" t="s">
        <v>158</v>
      </c>
      <c r="E25" s="97">
        <f>29763.67+8668.5</f>
        <v>38432.17</v>
      </c>
      <c r="F25" s="97">
        <f>24493.36+8306.59</f>
        <v>32799.95</v>
      </c>
    </row>
    <row r="26" spans="1:6" ht="33.75">
      <c r="A26" s="69" t="s">
        <v>279</v>
      </c>
      <c r="B26" s="97">
        <v>0</v>
      </c>
      <c r="C26" s="97">
        <v>0</v>
      </c>
      <c r="D26" s="98" t="s">
        <v>280</v>
      </c>
      <c r="E26" s="97">
        <f>3254+3510.27</f>
        <v>6764.27</v>
      </c>
      <c r="F26" s="97">
        <f>3139+9234.75</f>
        <v>12373.75</v>
      </c>
    </row>
    <row r="27" spans="1:6" ht="33.75">
      <c r="A27" s="69" t="s">
        <v>75</v>
      </c>
      <c r="B27" s="6">
        <f>SUM(B28+B33+B39+B43+B44)</f>
        <v>38682.04</v>
      </c>
      <c r="C27" s="6">
        <f>SUM(C28+C33+C39+C43+C44)</f>
        <v>32291.810000000005</v>
      </c>
      <c r="D27" s="98" t="s">
        <v>162</v>
      </c>
      <c r="E27" s="97">
        <f>16322.14+24231.71</f>
        <v>40553.85</v>
      </c>
      <c r="F27" s="97">
        <f>12735.88+34114.32</f>
        <v>46850.2</v>
      </c>
    </row>
    <row r="28" spans="1:6" ht="22.5">
      <c r="A28" s="69" t="s">
        <v>77</v>
      </c>
      <c r="B28" s="97">
        <f>SUM(B29:B32)</f>
        <v>11570.4</v>
      </c>
      <c r="C28" s="97">
        <f>SUM(C29:C32)</f>
        <v>10280.29</v>
      </c>
      <c r="D28" s="98" t="s">
        <v>164</v>
      </c>
      <c r="E28" s="97">
        <f>23042.14+24603.15</f>
        <v>47645.29</v>
      </c>
      <c r="F28" s="97">
        <f>22265.16+31172.91</f>
        <v>53438.07</v>
      </c>
    </row>
    <row r="29" spans="1:6" ht="22.5">
      <c r="A29" s="98" t="s">
        <v>281</v>
      </c>
      <c r="B29" s="97">
        <f>7903.42+3666.98</f>
        <v>11570.4</v>
      </c>
      <c r="C29" s="97">
        <f>6849.74+3430.55</f>
        <v>10280.29</v>
      </c>
      <c r="D29" s="98" t="s">
        <v>282</v>
      </c>
      <c r="E29" s="97">
        <f>591.2</f>
        <v>591.2</v>
      </c>
      <c r="F29" s="97">
        <f>377.71</f>
        <v>377.71</v>
      </c>
    </row>
    <row r="30" spans="1:6" ht="45">
      <c r="A30" s="98" t="s">
        <v>159</v>
      </c>
      <c r="B30" s="97">
        <f>SUM('[2]zakłady budżetowe'!L23)</f>
        <v>0</v>
      </c>
      <c r="C30" s="97">
        <f>SUM('[2]zakłady budżetowe'!M23)</f>
        <v>0</v>
      </c>
      <c r="D30" s="98" t="s">
        <v>283</v>
      </c>
      <c r="E30" s="97">
        <v>0</v>
      </c>
      <c r="F30" s="97">
        <v>0</v>
      </c>
    </row>
    <row r="31" spans="1:6" ht="50.25" customHeight="1">
      <c r="A31" s="98" t="s">
        <v>161</v>
      </c>
      <c r="B31" s="97">
        <f>SUM('[2]zakłady budżetowe'!L24)</f>
        <v>0</v>
      </c>
      <c r="C31" s="97">
        <f>SUM('[2]zakłady budżetowe'!M24)</f>
        <v>0</v>
      </c>
      <c r="D31" s="98" t="s">
        <v>170</v>
      </c>
      <c r="E31" s="97">
        <f>SUM('[2]zakłady budżetowe'!L64)</f>
        <v>0</v>
      </c>
      <c r="F31" s="97">
        <f>SUM('[2]zakłady budżetowe'!M64)</f>
        <v>0</v>
      </c>
    </row>
    <row r="32" spans="1:6" ht="22.5">
      <c r="A32" s="98" t="s">
        <v>163</v>
      </c>
      <c r="B32" s="97">
        <v>0</v>
      </c>
      <c r="C32" s="97">
        <v>0</v>
      </c>
      <c r="D32" s="98" t="s">
        <v>172</v>
      </c>
      <c r="E32" s="97">
        <f>SUM('[2]zakłady budżetowe'!L65)</f>
        <v>0</v>
      </c>
      <c r="F32" s="97">
        <f>914.85</f>
        <v>914.85</v>
      </c>
    </row>
    <row r="33" spans="1:6" ht="22.5">
      <c r="A33" s="69" t="s">
        <v>284</v>
      </c>
      <c r="B33" s="97">
        <f>SUM(B34:B38)</f>
        <v>26069.45</v>
      </c>
      <c r="C33" s="97">
        <f>SUM(C34:C38)</f>
        <v>20438.100000000002</v>
      </c>
      <c r="D33" s="69" t="s">
        <v>285</v>
      </c>
      <c r="E33" s="24">
        <f>SUM(E34:E35)</f>
        <v>3761.1</v>
      </c>
      <c r="F33" s="24">
        <f>SUM(F34:F35)</f>
        <v>4874.91</v>
      </c>
    </row>
    <row r="34" spans="1:6" ht="22.5">
      <c r="A34" s="98" t="s">
        <v>167</v>
      </c>
      <c r="B34" s="97">
        <v>0</v>
      </c>
      <c r="C34" s="97">
        <v>0</v>
      </c>
      <c r="D34" s="98" t="s">
        <v>176</v>
      </c>
      <c r="E34" s="97">
        <f>3657.19+103.91</f>
        <v>3761.1</v>
      </c>
      <c r="F34" s="97">
        <f>4643.32+231.59</f>
        <v>4874.91</v>
      </c>
    </row>
    <row r="35" spans="1:6" ht="22.5">
      <c r="A35" s="98" t="s">
        <v>286</v>
      </c>
      <c r="B35" s="97">
        <f>23350.49+103.96</f>
        <v>23454.45</v>
      </c>
      <c r="C35" s="97">
        <f>17136.18+0.38+231.64</f>
        <v>17368.2</v>
      </c>
      <c r="D35" s="98" t="s">
        <v>178</v>
      </c>
      <c r="E35" s="97">
        <v>0</v>
      </c>
      <c r="F35" s="97">
        <v>0</v>
      </c>
    </row>
    <row r="36" spans="1:6" ht="33.75">
      <c r="A36" s="98" t="s">
        <v>171</v>
      </c>
      <c r="B36" s="97">
        <f>SUM('[2]zakłady budżetowe'!L29)</f>
        <v>0</v>
      </c>
      <c r="C36" s="97">
        <f>SUM('[2]zakłady budżetowe'!M29)</f>
        <v>0</v>
      </c>
      <c r="D36" s="69" t="s">
        <v>180</v>
      </c>
      <c r="E36" s="6">
        <f>SUM(E37+E38)</f>
        <v>0</v>
      </c>
      <c r="F36" s="6">
        <f>SUM(F37+F38)</f>
        <v>0</v>
      </c>
    </row>
    <row r="37" spans="1:6" ht="33.75">
      <c r="A37" s="98" t="s">
        <v>296</v>
      </c>
      <c r="B37" s="97">
        <f>2615</f>
        <v>2615</v>
      </c>
      <c r="C37" s="100">
        <f>3069.9</f>
        <v>3069.9</v>
      </c>
      <c r="D37" s="69" t="s">
        <v>182</v>
      </c>
      <c r="E37" s="6">
        <f>SUM('[2]zakłady budżetowe'!L70)</f>
        <v>0</v>
      </c>
      <c r="F37" s="6">
        <f>SUM('[2]zakłady budżetowe'!M70)</f>
        <v>0</v>
      </c>
    </row>
    <row r="38" spans="1:6" ht="56.25">
      <c r="A38" s="98" t="s">
        <v>175</v>
      </c>
      <c r="B38" s="97">
        <f>SUM('[2]zakłady budżetowe'!L31)</f>
        <v>0</v>
      </c>
      <c r="C38" s="97">
        <f>SUM('[2]zakłady budżetowe'!M31)</f>
        <v>0</v>
      </c>
      <c r="D38" s="69" t="s">
        <v>288</v>
      </c>
      <c r="E38" s="6">
        <f>SUM('[2]zakłady budżetowe'!L71)</f>
        <v>0</v>
      </c>
      <c r="F38" s="6">
        <f>SUM('[2]zakłady budżetowe'!M71)</f>
        <v>0</v>
      </c>
    </row>
    <row r="39" spans="1:6" ht="12.75">
      <c r="A39" s="69" t="s">
        <v>289</v>
      </c>
      <c r="B39" s="97">
        <f>SUM(B40:B42)</f>
        <v>1042.19</v>
      </c>
      <c r="C39" s="97">
        <f>SUM(C40:C42)</f>
        <v>1573.42</v>
      </c>
      <c r="D39" s="69" t="s">
        <v>186</v>
      </c>
      <c r="E39" s="6">
        <f>SUM('[2]zakłady budżetowe'!L72)</f>
        <v>0</v>
      </c>
      <c r="F39" s="6">
        <f>SUM('[2]zakłady budżetowe'!M72)</f>
        <v>0</v>
      </c>
    </row>
    <row r="40" spans="1:6" ht="22.5">
      <c r="A40" s="98" t="s">
        <v>290</v>
      </c>
      <c r="B40" s="97">
        <v>0</v>
      </c>
      <c r="C40" s="97">
        <v>0</v>
      </c>
      <c r="D40" s="101"/>
      <c r="E40" s="102"/>
      <c r="F40" s="102"/>
    </row>
    <row r="41" spans="1:6" ht="22.5">
      <c r="A41" s="98" t="s">
        <v>181</v>
      </c>
      <c r="B41" s="97">
        <v>1042.19</v>
      </c>
      <c r="C41" s="97">
        <v>1573.42</v>
      </c>
      <c r="D41" s="99"/>
      <c r="E41" s="97"/>
      <c r="F41" s="97"/>
    </row>
    <row r="42" spans="1:6" ht="12.75">
      <c r="A42" s="98" t="s">
        <v>183</v>
      </c>
      <c r="B42" s="97">
        <v>0</v>
      </c>
      <c r="C42" s="97" t="s">
        <v>256</v>
      </c>
      <c r="D42" s="99"/>
      <c r="E42" s="97"/>
      <c r="F42" s="97"/>
    </row>
    <row r="43" spans="1:6" ht="22.5">
      <c r="A43" s="69" t="s">
        <v>291</v>
      </c>
      <c r="B43" s="97">
        <f>SUM('[2]zakłady budżetowe'!L36)</f>
        <v>0</v>
      </c>
      <c r="C43" s="97">
        <f>SUM('[2]zakłady budżetowe'!M36)</f>
        <v>0</v>
      </c>
      <c r="D43" s="99"/>
      <c r="E43" s="97"/>
      <c r="F43" s="97"/>
    </row>
    <row r="44" spans="1:6" ht="22.5">
      <c r="A44" s="69" t="s">
        <v>187</v>
      </c>
      <c r="B44" s="97">
        <f>SUM('[2]zakłady budżetowe'!L37)</f>
        <v>0</v>
      </c>
      <c r="C44" s="97">
        <f>SUM('[2]zakłady budżetowe'!M37)</f>
        <v>0</v>
      </c>
      <c r="D44" s="99"/>
      <c r="E44" s="97"/>
      <c r="F44" s="97"/>
    </row>
    <row r="45" spans="1:6" ht="12.75">
      <c r="A45" s="69" t="s">
        <v>188</v>
      </c>
      <c r="B45" s="97">
        <f>SUM('[2]zakłady budżetowe'!L38)</f>
        <v>0</v>
      </c>
      <c r="C45" s="97">
        <f>SUM('[2]zakłady budżetowe'!M38)</f>
        <v>0</v>
      </c>
      <c r="D45" s="6"/>
      <c r="E45" s="6"/>
      <c r="F45" s="6"/>
    </row>
    <row r="46" spans="1:6" ht="12.75">
      <c r="A46" s="75" t="s">
        <v>292</v>
      </c>
      <c r="B46" s="6">
        <f>SUM(B10+B27+B45)</f>
        <v>7281571.470000001</v>
      </c>
      <c r="C46" s="6">
        <f>SUM(C10+C27+C45)</f>
        <v>8017934.09</v>
      </c>
      <c r="D46" s="75" t="s">
        <v>190</v>
      </c>
      <c r="E46" s="6">
        <f>SUM(E10+E19+E22+E23+E36+E39)</f>
        <v>7281571.469999999</v>
      </c>
      <c r="F46" s="6">
        <f>SUM(F10+F19+F22+F23+F36+F39)</f>
        <v>8017934.090000002</v>
      </c>
    </row>
    <row r="47" spans="1:6" ht="12.75">
      <c r="A47" s="103"/>
      <c r="B47" s="94"/>
      <c r="C47" s="94"/>
      <c r="D47" s="94"/>
      <c r="E47" s="94"/>
      <c r="F47" s="94"/>
    </row>
    <row r="48" spans="1:6" ht="23.25" customHeight="1">
      <c r="A48" s="133" t="s">
        <v>114</v>
      </c>
      <c r="B48" s="133"/>
      <c r="C48" s="133"/>
      <c r="D48" s="133"/>
      <c r="E48" s="133"/>
      <c r="F48" s="133"/>
    </row>
    <row r="49" spans="1:6" ht="12.75">
      <c r="A49" s="133" t="s">
        <v>115</v>
      </c>
      <c r="B49" s="133"/>
      <c r="C49" s="133"/>
      <c r="D49" s="133"/>
      <c r="E49" s="133"/>
      <c r="F49" s="133"/>
    </row>
    <row r="50" spans="1:6" ht="12.75">
      <c r="A50" s="25" t="s">
        <v>116</v>
      </c>
      <c r="B50" s="25"/>
      <c r="C50" s="25"/>
      <c r="D50" s="93"/>
      <c r="E50" s="25"/>
      <c r="F50" s="25"/>
    </row>
    <row r="51" spans="1:6" ht="12.75">
      <c r="A51" s="25" t="s">
        <v>117</v>
      </c>
      <c r="B51" s="25"/>
      <c r="C51" s="25"/>
      <c r="D51" s="93"/>
      <c r="E51" s="25"/>
      <c r="F51" s="25"/>
    </row>
    <row r="52" spans="1:6" ht="12.75">
      <c r="A52" s="25" t="s">
        <v>118</v>
      </c>
      <c r="B52" s="25"/>
      <c r="C52" s="25"/>
      <c r="D52" s="93"/>
      <c r="E52" s="25"/>
      <c r="F52" s="25"/>
    </row>
    <row r="53" spans="1:6" ht="12.75">
      <c r="A53" s="25" t="s">
        <v>119</v>
      </c>
      <c r="B53" s="25"/>
      <c r="C53" s="25"/>
      <c r="D53" s="93"/>
      <c r="E53" s="25"/>
      <c r="F53" s="25"/>
    </row>
    <row r="54" spans="1:6" ht="12.75">
      <c r="A54" s="25" t="s">
        <v>120</v>
      </c>
      <c r="B54" s="25"/>
      <c r="C54" s="25"/>
      <c r="D54" s="25"/>
      <c r="E54" s="25"/>
      <c r="F54" s="25"/>
    </row>
    <row r="56" spans="1:5" ht="12.75">
      <c r="A56" s="26" t="s">
        <v>110</v>
      </c>
      <c r="C56" s="26" t="s">
        <v>111</v>
      </c>
      <c r="E56" s="26" t="s">
        <v>112</v>
      </c>
    </row>
    <row r="57" spans="1:6" ht="12.75">
      <c r="A57" s="105"/>
      <c r="B57" s="104"/>
      <c r="C57" s="104"/>
      <c r="D57" s="104"/>
      <c r="E57" s="104"/>
      <c r="F57" s="104"/>
    </row>
  </sheetData>
  <mergeCells count="16">
    <mergeCell ref="B8:C8"/>
    <mergeCell ref="E8:F8"/>
    <mergeCell ref="A48:F48"/>
    <mergeCell ref="A49:F49"/>
    <mergeCell ref="A5:B5"/>
    <mergeCell ref="C5:D5"/>
    <mergeCell ref="E5:F7"/>
    <mergeCell ref="A6:B6"/>
    <mergeCell ref="C6:D6"/>
    <mergeCell ref="A7:B7"/>
    <mergeCell ref="C7:D7"/>
    <mergeCell ref="A2:B4"/>
    <mergeCell ref="C2:D2"/>
    <mergeCell ref="E2:F4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:F57"/>
    </sheetView>
  </sheetViews>
  <sheetFormatPr defaultColWidth="9.140625" defaultRowHeight="12.75"/>
  <cols>
    <col min="1" max="1" width="21.00390625" style="0" customWidth="1"/>
    <col min="2" max="2" width="11.421875" style="0" customWidth="1"/>
    <col min="3" max="3" width="11.57421875" style="0" customWidth="1"/>
    <col min="4" max="4" width="18.421875" style="0" customWidth="1"/>
    <col min="5" max="5" width="11.421875" style="0" customWidth="1"/>
    <col min="6" max="6" width="12.140625" style="0" customWidth="1"/>
  </cols>
  <sheetData>
    <row r="1" spans="1:6" ht="12.75">
      <c r="A1" s="94"/>
      <c r="B1" s="94"/>
      <c r="C1" s="94"/>
      <c r="D1" s="94"/>
      <c r="E1" s="94"/>
      <c r="F1" s="94"/>
    </row>
    <row r="2" spans="1:6" ht="12.75">
      <c r="A2" s="161" t="s">
        <v>200</v>
      </c>
      <c r="B2" s="162"/>
      <c r="C2" s="165"/>
      <c r="D2" s="166"/>
      <c r="E2" s="161" t="s">
        <v>264</v>
      </c>
      <c r="F2" s="162"/>
    </row>
    <row r="3" spans="1:6" ht="12.75">
      <c r="A3" s="163"/>
      <c r="B3" s="164"/>
      <c r="C3" s="167" t="s">
        <v>197</v>
      </c>
      <c r="D3" s="168"/>
      <c r="E3" s="163"/>
      <c r="F3" s="164"/>
    </row>
    <row r="4" spans="1:6" ht="12.75">
      <c r="A4" s="163"/>
      <c r="B4" s="164"/>
      <c r="C4" s="169" t="s">
        <v>265</v>
      </c>
      <c r="D4" s="170"/>
      <c r="E4" s="163"/>
      <c r="F4" s="164"/>
    </row>
    <row r="5" spans="1:6" ht="12.75">
      <c r="A5" s="171" t="s">
        <v>202</v>
      </c>
      <c r="B5" s="172"/>
      <c r="C5" s="173"/>
      <c r="D5" s="174"/>
      <c r="E5" s="175" t="s">
        <v>203</v>
      </c>
      <c r="F5" s="176"/>
    </row>
    <row r="6" spans="1:6" ht="12.75">
      <c r="A6" s="181" t="s">
        <v>4</v>
      </c>
      <c r="B6" s="182"/>
      <c r="C6" s="169" t="s">
        <v>293</v>
      </c>
      <c r="D6" s="183"/>
      <c r="E6" s="177"/>
      <c r="F6" s="178"/>
    </row>
    <row r="7" spans="1:6" ht="12.75">
      <c r="A7" s="184"/>
      <c r="B7" s="185"/>
      <c r="C7" s="184"/>
      <c r="D7" s="185"/>
      <c r="E7" s="179"/>
      <c r="F7" s="180"/>
    </row>
    <row r="8" spans="1:6" ht="12.75">
      <c r="A8" s="94"/>
      <c r="B8" s="159"/>
      <c r="C8" s="159"/>
      <c r="D8" s="95"/>
      <c r="E8" s="160"/>
      <c r="F8" s="160"/>
    </row>
    <row r="9" spans="1:6" ht="22.5">
      <c r="A9" s="56" t="s">
        <v>204</v>
      </c>
      <c r="B9" s="96" t="s">
        <v>205</v>
      </c>
      <c r="C9" s="96" t="s">
        <v>206</v>
      </c>
      <c r="D9" s="56" t="s">
        <v>207</v>
      </c>
      <c r="E9" s="96" t="s">
        <v>205</v>
      </c>
      <c r="F9" s="96" t="s">
        <v>206</v>
      </c>
    </row>
    <row r="10" spans="1:6" ht="12.75">
      <c r="A10" s="5" t="s">
        <v>11</v>
      </c>
      <c r="B10" s="6">
        <f>SUM(B11+B12+B21+B22+B26)</f>
        <v>99319435.58000001</v>
      </c>
      <c r="C10" s="6">
        <f>SUM(C11+C12+C21+C22+C26)</f>
        <v>103831813.33000001</v>
      </c>
      <c r="D10" s="5" t="s">
        <v>208</v>
      </c>
      <c r="E10" s="6">
        <f>SUM(E11+E12+E15+E16+E17+E18)</f>
        <v>102033380.45</v>
      </c>
      <c r="F10" s="6">
        <f>SUM(F11+F12+F15+F16+F17+F18)</f>
        <v>106775717.03</v>
      </c>
    </row>
    <row r="11" spans="1:6" ht="22.5">
      <c r="A11" s="69" t="s">
        <v>266</v>
      </c>
      <c r="B11" s="97">
        <v>6041.06</v>
      </c>
      <c r="C11" s="97">
        <v>5277.62</v>
      </c>
      <c r="D11" s="69" t="s">
        <v>127</v>
      </c>
      <c r="E11" s="97">
        <v>111543077.15</v>
      </c>
      <c r="F11" s="97">
        <v>116526096.08</v>
      </c>
    </row>
    <row r="12" spans="1:6" ht="22.5">
      <c r="A12" s="69" t="s">
        <v>23</v>
      </c>
      <c r="B12" s="97">
        <f>SUM(B13)</f>
        <v>87617794.52000001</v>
      </c>
      <c r="C12" s="97">
        <f>SUM(C13+C19+C21)</f>
        <v>92130935.71000001</v>
      </c>
      <c r="D12" s="69" t="s">
        <v>128</v>
      </c>
      <c r="E12" s="97">
        <f>SUM(E13-E14)</f>
        <v>-9509696.7</v>
      </c>
      <c r="F12" s="97">
        <f>SUM(F13-F14)</f>
        <v>-9750379.05</v>
      </c>
    </row>
    <row r="13" spans="1:6" ht="12.75">
      <c r="A13" s="98" t="s">
        <v>25</v>
      </c>
      <c r="B13" s="97">
        <f>SUM(B14:B20)</f>
        <v>87617794.52000001</v>
      </c>
      <c r="C13" s="97">
        <f>SUM(C14:C18)</f>
        <v>91885367.17</v>
      </c>
      <c r="D13" s="98" t="s">
        <v>216</v>
      </c>
      <c r="E13" s="97">
        <v>0</v>
      </c>
      <c r="F13" s="97">
        <v>0</v>
      </c>
    </row>
    <row r="14" spans="1:6" ht="12.75">
      <c r="A14" s="98" t="s">
        <v>130</v>
      </c>
      <c r="B14" s="97">
        <v>53156204.7</v>
      </c>
      <c r="C14" s="97">
        <v>52694728.7</v>
      </c>
      <c r="D14" s="98" t="s">
        <v>218</v>
      </c>
      <c r="E14" s="97">
        <v>9509696.7</v>
      </c>
      <c r="F14" s="97">
        <v>9750379.05</v>
      </c>
    </row>
    <row r="15" spans="1:6" ht="33.75">
      <c r="A15" s="98" t="s">
        <v>213</v>
      </c>
      <c r="B15" s="97">
        <v>31915857.25</v>
      </c>
      <c r="C15" s="97">
        <v>38776831.95</v>
      </c>
      <c r="D15" s="69" t="s">
        <v>267</v>
      </c>
      <c r="E15" s="97">
        <f>SUM('[2]zakłady budżetowe'!L48)</f>
        <v>0</v>
      </c>
      <c r="F15" s="97">
        <f>SUM('[2]zakłady budżetowe'!M48)</f>
        <v>0</v>
      </c>
    </row>
    <row r="16" spans="1:6" ht="22.5">
      <c r="A16" s="98" t="s">
        <v>134</v>
      </c>
      <c r="B16" s="97">
        <v>238394.02</v>
      </c>
      <c r="C16" s="97">
        <v>207845.04</v>
      </c>
      <c r="D16" s="69" t="s">
        <v>268</v>
      </c>
      <c r="E16" s="97">
        <f>SUM('[2]zakłady budżetowe'!L49)</f>
        <v>0</v>
      </c>
      <c r="F16" s="97">
        <f>SUM('[2]zakłady budżetowe'!M49)</f>
        <v>0</v>
      </c>
    </row>
    <row r="17" spans="1:6" ht="33.75">
      <c r="A17" s="98" t="s">
        <v>136</v>
      </c>
      <c r="B17" s="97">
        <v>87839.98</v>
      </c>
      <c r="C17" s="97">
        <v>174749.21</v>
      </c>
      <c r="D17" s="69" t="s">
        <v>269</v>
      </c>
      <c r="E17" s="97">
        <f>SUM('[2]zakłady budżetowe'!L50)</f>
        <v>0</v>
      </c>
      <c r="F17" s="97">
        <f>SUM('[2]zakłady budżetowe'!M50)</f>
        <v>0</v>
      </c>
    </row>
    <row r="18" spans="1:6" ht="12.75">
      <c r="A18" s="98" t="s">
        <v>217</v>
      </c>
      <c r="B18" s="97">
        <v>22298.93</v>
      </c>
      <c r="C18" s="97">
        <v>31212.27</v>
      </c>
      <c r="D18" s="69" t="s">
        <v>270</v>
      </c>
      <c r="E18" s="97">
        <f>SUM('[2]zakłady budżetowe'!L51)</f>
        <v>0</v>
      </c>
      <c r="F18" s="97">
        <f>SUM('[2]zakłady budżetowe'!M51)</f>
        <v>0</v>
      </c>
    </row>
    <row r="19" spans="1:6" ht="22.5">
      <c r="A19" s="98" t="s">
        <v>140</v>
      </c>
      <c r="B19" s="97">
        <v>2197199.64</v>
      </c>
      <c r="C19" s="97">
        <v>245568.54</v>
      </c>
      <c r="D19" s="69" t="s">
        <v>271</v>
      </c>
      <c r="E19" s="6">
        <f>SUM(E20+E21)</f>
        <v>0</v>
      </c>
      <c r="F19" s="6">
        <f>SUM(F20+F21)</f>
        <v>0</v>
      </c>
    </row>
    <row r="20" spans="1:6" ht="22.5">
      <c r="A20" s="98" t="s">
        <v>272</v>
      </c>
      <c r="B20" s="97">
        <v>0</v>
      </c>
      <c r="C20" s="97">
        <v>0</v>
      </c>
      <c r="D20" s="98" t="s">
        <v>273</v>
      </c>
      <c r="E20" s="97">
        <f>SUM('[2]zakłady budżetowe'!L53)</f>
        <v>0</v>
      </c>
      <c r="F20" s="97">
        <f>SUM('[2]zakłady budżetowe'!M53)</f>
        <v>0</v>
      </c>
    </row>
    <row r="21" spans="1:6" ht="22.5">
      <c r="A21" s="69" t="s">
        <v>274</v>
      </c>
      <c r="B21" s="97">
        <v>0</v>
      </c>
      <c r="C21" s="97">
        <v>0</v>
      </c>
      <c r="D21" s="98" t="s">
        <v>275</v>
      </c>
      <c r="E21" s="97">
        <f>SUM('[2]zakłady budżetowe'!L54)</f>
        <v>0</v>
      </c>
      <c r="F21" s="97">
        <f>SUM('[2]zakłady budżetowe'!M54)</f>
        <v>0</v>
      </c>
    </row>
    <row r="22" spans="1:6" ht="22.5">
      <c r="A22" s="69" t="s">
        <v>276</v>
      </c>
      <c r="B22" s="97">
        <f>SUM(B23:B25)</f>
        <v>11695600</v>
      </c>
      <c r="C22" s="97">
        <f>SUM(C23:C25)</f>
        <v>11695600</v>
      </c>
      <c r="D22" s="69" t="s">
        <v>277</v>
      </c>
      <c r="E22" s="97">
        <f>SUM('[2]zakłady budżetowe'!L55)</f>
        <v>0</v>
      </c>
      <c r="F22" s="97">
        <f>SUM('[2]zakłady budżetowe'!M55)</f>
        <v>0</v>
      </c>
    </row>
    <row r="23" spans="1:6" ht="33.75">
      <c r="A23" s="98" t="s">
        <v>223</v>
      </c>
      <c r="B23" s="97">
        <v>11695600</v>
      </c>
      <c r="C23" s="97">
        <v>11695600</v>
      </c>
      <c r="D23" s="69" t="s">
        <v>278</v>
      </c>
      <c r="E23" s="6">
        <f>SUM(E24+E33)</f>
        <v>1106022.2</v>
      </c>
      <c r="F23" s="6">
        <f>SUM(F24+F33)</f>
        <v>1196945.93</v>
      </c>
    </row>
    <row r="24" spans="1:6" ht="22.5">
      <c r="A24" s="98" t="s">
        <v>149</v>
      </c>
      <c r="B24" s="97">
        <f>SUM('[2]zakłady budżetowe'!L17)</f>
        <v>0</v>
      </c>
      <c r="C24" s="97">
        <v>0</v>
      </c>
      <c r="D24" s="98" t="s">
        <v>156</v>
      </c>
      <c r="E24" s="99">
        <f>SUM(E25:E32)</f>
        <v>926315.66</v>
      </c>
      <c r="F24" s="99">
        <f>SUM(F25:F32)</f>
        <v>980447.2699999999</v>
      </c>
    </row>
    <row r="25" spans="1:6" ht="22.5">
      <c r="A25" s="98" t="s">
        <v>151</v>
      </c>
      <c r="B25" s="97">
        <f>SUM('[2]zakłady budżetowe'!L18)</f>
        <v>0</v>
      </c>
      <c r="C25" s="97">
        <f>SUM('[2]zakłady budżetowe'!M18)</f>
        <v>0</v>
      </c>
      <c r="D25" s="98" t="s">
        <v>158</v>
      </c>
      <c r="E25" s="97">
        <v>315077.58</v>
      </c>
      <c r="F25" s="97">
        <v>423557.54</v>
      </c>
    </row>
    <row r="26" spans="1:6" ht="33.75">
      <c r="A26" s="69" t="s">
        <v>279</v>
      </c>
      <c r="B26" s="97">
        <v>0</v>
      </c>
      <c r="C26" s="97">
        <v>0</v>
      </c>
      <c r="D26" s="98" t="s">
        <v>280</v>
      </c>
      <c r="E26" s="97">
        <v>33539.22</v>
      </c>
      <c r="F26" s="97">
        <v>56858.17</v>
      </c>
    </row>
    <row r="27" spans="1:6" ht="33.75">
      <c r="A27" s="69" t="s">
        <v>75</v>
      </c>
      <c r="B27" s="6">
        <f>SUM(B28+B33+B39+B43+B44)</f>
        <v>3819967.0700000003</v>
      </c>
      <c r="C27" s="6">
        <f>SUM(C28+C33+C39+C43+C44)</f>
        <v>4129947.81</v>
      </c>
      <c r="D27" s="98" t="s">
        <v>162</v>
      </c>
      <c r="E27" s="97">
        <v>107732.58</v>
      </c>
      <c r="F27" s="97">
        <v>130174.75</v>
      </c>
    </row>
    <row r="28" spans="1:6" ht="22.5">
      <c r="A28" s="69" t="s">
        <v>77</v>
      </c>
      <c r="B28" s="97">
        <v>0</v>
      </c>
      <c r="C28" s="97">
        <f>SUM(C29:C32)</f>
        <v>0</v>
      </c>
      <c r="D28" s="98" t="s">
        <v>164</v>
      </c>
      <c r="E28" s="97">
        <v>156599.07</v>
      </c>
      <c r="F28" s="97">
        <v>88212.25</v>
      </c>
    </row>
    <row r="29" spans="1:6" ht="22.5">
      <c r="A29" s="98" t="s">
        <v>281</v>
      </c>
      <c r="B29" s="97">
        <v>0</v>
      </c>
      <c r="C29" s="97">
        <v>0</v>
      </c>
      <c r="D29" s="98" t="s">
        <v>282</v>
      </c>
      <c r="E29" s="97">
        <v>79200.46</v>
      </c>
      <c r="F29" s="97">
        <v>74094.15</v>
      </c>
    </row>
    <row r="30" spans="1:6" ht="45">
      <c r="A30" s="98" t="s">
        <v>159</v>
      </c>
      <c r="B30" s="97">
        <f>SUM('[2]zakłady budżetowe'!L23)</f>
        <v>0</v>
      </c>
      <c r="C30" s="97">
        <f>SUM('[2]zakłady budżetowe'!M23)</f>
        <v>0</v>
      </c>
      <c r="D30" s="98" t="s">
        <v>283</v>
      </c>
      <c r="E30" s="97">
        <v>234166.75</v>
      </c>
      <c r="F30" s="97">
        <v>196648.59</v>
      </c>
    </row>
    <row r="31" spans="1:6" ht="56.25">
      <c r="A31" s="98" t="s">
        <v>161</v>
      </c>
      <c r="B31" s="97">
        <f>SUM('[2]zakłady budżetowe'!L24)</f>
        <v>0</v>
      </c>
      <c r="C31" s="97">
        <f>SUM('[2]zakłady budżetowe'!M24)</f>
        <v>0</v>
      </c>
      <c r="D31" s="98" t="s">
        <v>170</v>
      </c>
      <c r="E31" s="97">
        <f>SUM('[2]zakłady budżetowe'!L64)</f>
        <v>0</v>
      </c>
      <c r="F31" s="97">
        <f>SUM('[2]zakłady budżetowe'!M64)</f>
        <v>0</v>
      </c>
    </row>
    <row r="32" spans="1:6" ht="22.5">
      <c r="A32" s="98" t="s">
        <v>163</v>
      </c>
      <c r="B32" s="97">
        <v>0</v>
      </c>
      <c r="C32" s="97">
        <v>0</v>
      </c>
      <c r="D32" s="98" t="s">
        <v>172</v>
      </c>
      <c r="E32" s="97">
        <f>SUM('[2]zakłady budżetowe'!L65)</f>
        <v>0</v>
      </c>
      <c r="F32" s="97">
        <f>SUM('[2]zakłady budżetowe'!M65)</f>
        <v>10901.82</v>
      </c>
    </row>
    <row r="33" spans="1:6" ht="22.5">
      <c r="A33" s="69" t="s">
        <v>284</v>
      </c>
      <c r="B33" s="97">
        <f>SUM(B34:B38)</f>
        <v>3445660.68</v>
      </c>
      <c r="C33" s="97">
        <f>SUM(C34:C38)</f>
        <v>3843919.39</v>
      </c>
      <c r="D33" s="69" t="s">
        <v>285</v>
      </c>
      <c r="E33" s="97">
        <f>SUM(E34:E35)</f>
        <v>179706.54</v>
      </c>
      <c r="F33" s="97">
        <f>SUM(F34:F35)</f>
        <v>216498.66000000003</v>
      </c>
    </row>
    <row r="34" spans="1:6" ht="22.5">
      <c r="A34" s="98" t="s">
        <v>167</v>
      </c>
      <c r="B34" s="97">
        <v>0</v>
      </c>
      <c r="C34" s="97">
        <v>644</v>
      </c>
      <c r="D34" s="98" t="s">
        <v>176</v>
      </c>
      <c r="E34" s="97">
        <v>111710.21</v>
      </c>
      <c r="F34" s="97">
        <v>132284.42</v>
      </c>
    </row>
    <row r="35" spans="1:6" ht="12.75">
      <c r="A35" s="98" t="s">
        <v>286</v>
      </c>
      <c r="B35" s="97">
        <v>0</v>
      </c>
      <c r="C35" s="97">
        <v>0</v>
      </c>
      <c r="D35" s="98" t="s">
        <v>178</v>
      </c>
      <c r="E35" s="97">
        <v>67996.33</v>
      </c>
      <c r="F35" s="97">
        <v>84214.24</v>
      </c>
    </row>
    <row r="36" spans="1:6" ht="22.5">
      <c r="A36" s="98" t="s">
        <v>171</v>
      </c>
      <c r="B36" s="97">
        <f>SUM('[2]zakłady budżetowe'!L29)</f>
        <v>0</v>
      </c>
      <c r="C36" s="97">
        <f>SUM('[2]zakłady budżetowe'!M29)</f>
        <v>0</v>
      </c>
      <c r="D36" s="69" t="s">
        <v>180</v>
      </c>
      <c r="E36" s="6">
        <f>SUM(E37+E38)</f>
        <v>0</v>
      </c>
      <c r="F36" s="6">
        <f>SUM(F37+F38)</f>
        <v>0</v>
      </c>
    </row>
    <row r="37" spans="1:6" ht="33.75">
      <c r="A37" s="98" t="s">
        <v>287</v>
      </c>
      <c r="B37" s="97">
        <v>3445660.68</v>
      </c>
      <c r="C37" s="100">
        <v>3843275.39</v>
      </c>
      <c r="D37" s="69" t="s">
        <v>182</v>
      </c>
      <c r="E37" s="6">
        <f>SUM('[2]zakłady budżetowe'!L70)</f>
        <v>0</v>
      </c>
      <c r="F37" s="6">
        <f>SUM('[2]zakłady budżetowe'!M70)</f>
        <v>0</v>
      </c>
    </row>
    <row r="38" spans="1:6" ht="45">
      <c r="A38" s="98" t="s">
        <v>175</v>
      </c>
      <c r="B38" s="97">
        <f>SUM('[2]zakłady budżetowe'!L31)</f>
        <v>0</v>
      </c>
      <c r="C38" s="97">
        <f>SUM('[2]zakłady budżetowe'!M31)</f>
        <v>0</v>
      </c>
      <c r="D38" s="69" t="s">
        <v>288</v>
      </c>
      <c r="E38" s="6">
        <f>SUM('[2]zakłady budżetowe'!L71)</f>
        <v>0</v>
      </c>
      <c r="F38" s="6">
        <f>SUM('[2]zakłady budżetowe'!M71)</f>
        <v>0</v>
      </c>
    </row>
    <row r="39" spans="1:6" ht="12.75">
      <c r="A39" s="69" t="s">
        <v>289</v>
      </c>
      <c r="B39" s="97">
        <f>SUM(B40:B42)</f>
        <v>374306.39</v>
      </c>
      <c r="C39" s="97">
        <f>SUM(C40:C42)</f>
        <v>286028.42</v>
      </c>
      <c r="D39" s="69" t="s">
        <v>186</v>
      </c>
      <c r="E39" s="6">
        <f>SUM('[2]zakłady budżetowe'!L72)</f>
        <v>0</v>
      </c>
      <c r="F39" s="6">
        <f>SUM('[2]zakłady budżetowe'!M72)</f>
        <v>0</v>
      </c>
    </row>
    <row r="40" spans="1:6" ht="22.5">
      <c r="A40" s="98" t="s">
        <v>290</v>
      </c>
      <c r="B40" s="97">
        <v>0</v>
      </c>
      <c r="C40" s="97">
        <v>0</v>
      </c>
      <c r="D40" s="101"/>
      <c r="E40" s="102"/>
      <c r="F40" s="102"/>
    </row>
    <row r="41" spans="1:6" ht="22.5">
      <c r="A41" s="98" t="s">
        <v>181</v>
      </c>
      <c r="B41" s="97">
        <v>374306.39</v>
      </c>
      <c r="C41" s="97">
        <v>286028.42</v>
      </c>
      <c r="D41" s="99"/>
      <c r="E41" s="97"/>
      <c r="F41" s="97"/>
    </row>
    <row r="42" spans="1:6" ht="12.75">
      <c r="A42" s="98" t="s">
        <v>183</v>
      </c>
      <c r="B42" s="97">
        <v>0</v>
      </c>
      <c r="C42" s="97" t="s">
        <v>256</v>
      </c>
      <c r="D42" s="99"/>
      <c r="E42" s="97"/>
      <c r="F42" s="97"/>
    </row>
    <row r="43" spans="1:6" ht="22.5">
      <c r="A43" s="69" t="s">
        <v>291</v>
      </c>
      <c r="B43" s="97">
        <f>SUM('[2]zakłady budżetowe'!L36)</f>
        <v>0</v>
      </c>
      <c r="C43" s="97">
        <f>SUM('[2]zakłady budżetowe'!M36)</f>
        <v>0</v>
      </c>
      <c r="D43" s="99"/>
      <c r="E43" s="97"/>
      <c r="F43" s="97"/>
    </row>
    <row r="44" spans="1:6" ht="22.5">
      <c r="A44" s="69" t="s">
        <v>187</v>
      </c>
      <c r="B44" s="97">
        <f>SUM('[2]zakłady budżetowe'!L37)</f>
        <v>0</v>
      </c>
      <c r="C44" s="97">
        <f>SUM('[2]zakłady budżetowe'!M37)</f>
        <v>0</v>
      </c>
      <c r="D44" s="99"/>
      <c r="E44" s="97"/>
      <c r="F44" s="97"/>
    </row>
    <row r="45" spans="1:6" ht="12.75">
      <c r="A45" s="69" t="s">
        <v>188</v>
      </c>
      <c r="B45" s="97">
        <f>SUM('[2]zakłady budżetowe'!L38)</f>
        <v>0</v>
      </c>
      <c r="C45" s="97">
        <f>SUM('[2]zakłady budżetowe'!M38)</f>
        <v>0</v>
      </c>
      <c r="D45" s="6"/>
      <c r="E45" s="6"/>
      <c r="F45" s="6"/>
    </row>
    <row r="46" spans="1:6" ht="12.75">
      <c r="A46" s="75" t="s">
        <v>292</v>
      </c>
      <c r="B46" s="6">
        <f>SUM(B10+B27+B45)</f>
        <v>103139402.65</v>
      </c>
      <c r="C46" s="6">
        <f>SUM(C10+C27+C45)</f>
        <v>107961761.14000002</v>
      </c>
      <c r="D46" s="75" t="s">
        <v>190</v>
      </c>
      <c r="E46" s="6">
        <f>SUM(E10+E19+E22+E23+E36+E39)</f>
        <v>103139402.65</v>
      </c>
      <c r="F46" s="6">
        <f>SUM(F10+F19+F22+F23+F36+F39)</f>
        <v>107972662.96000001</v>
      </c>
    </row>
    <row r="47" spans="1:6" ht="12.75">
      <c r="A47" s="103"/>
      <c r="B47" s="94"/>
      <c r="C47" s="94"/>
      <c r="D47" s="94"/>
      <c r="E47" s="94"/>
      <c r="F47" s="94"/>
    </row>
    <row r="48" spans="1:6" ht="24" customHeight="1">
      <c r="A48" s="133" t="s">
        <v>114</v>
      </c>
      <c r="B48" s="133"/>
      <c r="C48" s="133"/>
      <c r="D48" s="133"/>
      <c r="E48" s="133"/>
      <c r="F48" s="133"/>
    </row>
    <row r="49" spans="1:6" ht="12.75" customHeight="1">
      <c r="A49" s="133" t="s">
        <v>115</v>
      </c>
      <c r="B49" s="133"/>
      <c r="C49" s="133"/>
      <c r="D49" s="133"/>
      <c r="E49" s="133"/>
      <c r="F49" s="133"/>
    </row>
    <row r="50" spans="1:6" ht="12.75">
      <c r="A50" s="25" t="s">
        <v>116</v>
      </c>
      <c r="B50" s="25"/>
      <c r="C50" s="25"/>
      <c r="D50" s="93"/>
      <c r="E50" s="25"/>
      <c r="F50" s="25"/>
    </row>
    <row r="51" spans="1:6" ht="12.75" customHeight="1">
      <c r="A51" s="25" t="s">
        <v>117</v>
      </c>
      <c r="B51" s="25"/>
      <c r="C51" s="25"/>
      <c r="D51" s="93"/>
      <c r="E51" s="25"/>
      <c r="F51" s="25"/>
    </row>
    <row r="52" spans="1:6" ht="12.75" customHeight="1">
      <c r="A52" s="25" t="s">
        <v>118</v>
      </c>
      <c r="B52" s="25"/>
      <c r="C52" s="25"/>
      <c r="D52" s="93"/>
      <c r="E52" s="25"/>
      <c r="F52" s="25"/>
    </row>
    <row r="53" spans="1:6" ht="12.75" customHeight="1">
      <c r="A53" s="25" t="s">
        <v>119</v>
      </c>
      <c r="B53" s="25"/>
      <c r="C53" s="25"/>
      <c r="D53" s="93"/>
      <c r="E53" s="25"/>
      <c r="F53" s="25"/>
    </row>
    <row r="54" spans="1:6" ht="12.75">
      <c r="A54" s="25" t="s">
        <v>120</v>
      </c>
      <c r="B54" s="25"/>
      <c r="C54" s="25"/>
      <c r="D54" s="25"/>
      <c r="E54" s="25"/>
      <c r="F54" s="25"/>
    </row>
    <row r="56" spans="1:5" ht="45" customHeight="1">
      <c r="A56" s="26" t="s">
        <v>110</v>
      </c>
      <c r="C56" s="26" t="s">
        <v>111</v>
      </c>
      <c r="E56" s="26" t="s">
        <v>112</v>
      </c>
    </row>
    <row r="57" spans="1:6" ht="12.75">
      <c r="A57" s="105"/>
      <c r="B57" s="104"/>
      <c r="C57" s="104"/>
      <c r="D57" s="104"/>
      <c r="E57" s="104"/>
      <c r="F57" s="104"/>
    </row>
  </sheetData>
  <mergeCells count="16">
    <mergeCell ref="B8:C8"/>
    <mergeCell ref="E8:F8"/>
    <mergeCell ref="A48:F48"/>
    <mergeCell ref="A49:F49"/>
    <mergeCell ref="A5:B5"/>
    <mergeCell ref="C5:D5"/>
    <mergeCell ref="E5:F7"/>
    <mergeCell ref="A6:B6"/>
    <mergeCell ref="C6:D6"/>
    <mergeCell ref="A7:B7"/>
    <mergeCell ref="C7:D7"/>
    <mergeCell ref="A2:B4"/>
    <mergeCell ref="C2:D2"/>
    <mergeCell ref="E2:F4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55"/>
  <sheetViews>
    <sheetView zoomScale="120" zoomScaleNormal="120" workbookViewId="0" topLeftCell="A1">
      <selection activeCell="A40" sqref="A40:IV40"/>
    </sheetView>
  </sheetViews>
  <sheetFormatPr defaultColWidth="9.140625" defaultRowHeight="12.75"/>
  <cols>
    <col min="1" max="1" width="19.7109375" style="0" customWidth="1"/>
    <col min="2" max="3" width="11.57421875" style="0" customWidth="1"/>
    <col min="4" max="4" width="21.28125" style="0" customWidth="1"/>
    <col min="5" max="5" width="11.57421875" style="0" customWidth="1"/>
    <col min="6" max="6" width="10.8515625" style="0" customWidth="1"/>
  </cols>
  <sheetData>
    <row r="2" spans="1:6" ht="18.75" customHeight="1">
      <c r="A2" s="113" t="s">
        <v>0</v>
      </c>
      <c r="B2" s="114"/>
      <c r="C2" s="132" t="s">
        <v>121</v>
      </c>
      <c r="D2" s="118"/>
      <c r="E2" s="113" t="s">
        <v>122</v>
      </c>
      <c r="F2" s="114"/>
    </row>
    <row r="3" spans="1:6" ht="12.75">
      <c r="A3" s="115"/>
      <c r="B3" s="116"/>
      <c r="C3" s="130" t="s">
        <v>123</v>
      </c>
      <c r="D3" s="120"/>
      <c r="E3" s="115"/>
      <c r="F3" s="116"/>
    </row>
    <row r="4" spans="1:6" ht="21" customHeight="1">
      <c r="A4" s="126" t="s">
        <v>2</v>
      </c>
      <c r="B4" s="127"/>
      <c r="C4" s="130" t="s">
        <v>258</v>
      </c>
      <c r="D4" s="120"/>
      <c r="E4" s="113" t="s">
        <v>3</v>
      </c>
      <c r="F4" s="114"/>
    </row>
    <row r="5" spans="1:6" ht="9.75" customHeight="1">
      <c r="A5" s="131" t="s">
        <v>4</v>
      </c>
      <c r="B5" s="110"/>
      <c r="C5" s="109" t="s">
        <v>192</v>
      </c>
      <c r="D5" s="122"/>
      <c r="E5" s="115"/>
      <c r="F5" s="116"/>
    </row>
    <row r="6" spans="1:6" ht="12.75">
      <c r="A6" s="25"/>
      <c r="B6" s="25"/>
      <c r="C6" s="25"/>
      <c r="D6" s="25"/>
      <c r="E6" s="25"/>
      <c r="F6" s="25"/>
    </row>
    <row r="7" spans="1:6" ht="19.5">
      <c r="A7" s="27" t="s">
        <v>5</v>
      </c>
      <c r="B7" s="28" t="s">
        <v>124</v>
      </c>
      <c r="C7" s="28" t="s">
        <v>125</v>
      </c>
      <c r="D7" s="29" t="s">
        <v>7</v>
      </c>
      <c r="E7" s="28" t="s">
        <v>124</v>
      </c>
      <c r="F7" s="28" t="s">
        <v>125</v>
      </c>
    </row>
    <row r="8" spans="1:6" ht="12.75">
      <c r="A8" s="30" t="s">
        <v>11</v>
      </c>
      <c r="B8" s="14">
        <v>116410105.7</v>
      </c>
      <c r="C8" s="14">
        <f>C9+C10+C19+C20+C24</f>
        <v>117765838.98</v>
      </c>
      <c r="D8" s="30" t="s">
        <v>126</v>
      </c>
      <c r="E8" s="31">
        <v>113265617.88</v>
      </c>
      <c r="F8" s="31">
        <f>F9+F10+F13+F14+F17+F18+F19+F20</f>
        <v>112701035.05</v>
      </c>
    </row>
    <row r="9" spans="1:6" ht="18.75">
      <c r="A9" s="32" t="s">
        <v>13</v>
      </c>
      <c r="B9" s="10">
        <v>33526.35</v>
      </c>
      <c r="C9" s="10">
        <v>36709.35</v>
      </c>
      <c r="D9" s="32" t="s">
        <v>127</v>
      </c>
      <c r="E9" s="33">
        <v>135437042.56</v>
      </c>
      <c r="F9" s="33">
        <v>125818902.1</v>
      </c>
    </row>
    <row r="10" spans="1:6" ht="12.75">
      <c r="A10" s="32" t="s">
        <v>23</v>
      </c>
      <c r="B10" s="10">
        <v>104680979.35000001</v>
      </c>
      <c r="C10" s="10">
        <f>C11+C17+C18</f>
        <v>106023529.63000001</v>
      </c>
      <c r="D10" s="32" t="s">
        <v>128</v>
      </c>
      <c r="E10" s="10">
        <v>-16389562.84</v>
      </c>
      <c r="F10" s="10">
        <v>-6168025.3</v>
      </c>
    </row>
    <row r="11" spans="1:6" ht="12.75">
      <c r="A11" s="21" t="s">
        <v>25</v>
      </c>
      <c r="B11" s="10">
        <v>104435410.81</v>
      </c>
      <c r="C11" s="10">
        <f>C12+C13+C14+C15+C16</f>
        <v>102982234.71000001</v>
      </c>
      <c r="D11" s="34" t="s">
        <v>129</v>
      </c>
      <c r="E11" s="33">
        <v>123990.59</v>
      </c>
      <c r="F11" s="33">
        <v>1140859.39</v>
      </c>
    </row>
    <row r="12" spans="1:6" ht="12.75">
      <c r="A12" s="21" t="s">
        <v>130</v>
      </c>
      <c r="B12" s="10">
        <v>52694728.7</v>
      </c>
      <c r="C12" s="10">
        <v>51353126.55</v>
      </c>
      <c r="D12" s="34" t="s">
        <v>131</v>
      </c>
      <c r="E12" s="33">
        <v>16513553.43</v>
      </c>
      <c r="F12" s="33">
        <v>7308884.69</v>
      </c>
    </row>
    <row r="13" spans="1:6" ht="27.75">
      <c r="A13" s="34" t="s">
        <v>132</v>
      </c>
      <c r="B13" s="10">
        <v>50290739.5</v>
      </c>
      <c r="C13" s="10">
        <v>50079344.84</v>
      </c>
      <c r="D13" s="32" t="s">
        <v>133</v>
      </c>
      <c r="E13" s="10">
        <v>-3270506.48</v>
      </c>
      <c r="F13" s="10">
        <v>-4413230.24</v>
      </c>
    </row>
    <row r="14" spans="1:6" ht="19.5">
      <c r="A14" s="34" t="s">
        <v>134</v>
      </c>
      <c r="B14" s="10">
        <v>1030755.64</v>
      </c>
      <c r="C14" s="10">
        <v>1101417.65</v>
      </c>
      <c r="D14" s="32" t="s">
        <v>135</v>
      </c>
      <c r="E14" s="10">
        <v>-989472.12</v>
      </c>
      <c r="F14" s="10">
        <v>-2536611.51</v>
      </c>
    </row>
    <row r="15" spans="1:6" ht="19.5">
      <c r="A15" s="34" t="s">
        <v>136</v>
      </c>
      <c r="B15" s="10">
        <v>337551.48</v>
      </c>
      <c r="C15" s="10">
        <v>287008.78</v>
      </c>
      <c r="D15" s="35" t="s">
        <v>137</v>
      </c>
      <c r="E15" s="10">
        <v>0</v>
      </c>
      <c r="F15" s="10">
        <v>0</v>
      </c>
    </row>
    <row r="16" spans="1:6" ht="19.5">
      <c r="A16" s="34" t="s">
        <v>138</v>
      </c>
      <c r="B16" s="10">
        <v>81635.49</v>
      </c>
      <c r="C16" s="10">
        <v>161336.89</v>
      </c>
      <c r="D16" s="35" t="s">
        <v>139</v>
      </c>
      <c r="E16" s="10">
        <v>-1371883.24</v>
      </c>
      <c r="F16" s="10">
        <v>-14575.91</v>
      </c>
    </row>
    <row r="17" spans="1:6" ht="19.5">
      <c r="A17" s="34" t="s">
        <v>140</v>
      </c>
      <c r="B17" s="10">
        <v>245568.54</v>
      </c>
      <c r="C17" s="10">
        <v>3041294.92</v>
      </c>
      <c r="D17" s="32" t="s">
        <v>141</v>
      </c>
      <c r="E17" s="33">
        <v>0</v>
      </c>
      <c r="F17" s="33">
        <v>0</v>
      </c>
    </row>
    <row r="18" spans="1:6" ht="19.5">
      <c r="A18" s="34" t="s">
        <v>142</v>
      </c>
      <c r="B18" s="10">
        <v>0</v>
      </c>
      <c r="C18" s="10">
        <v>0</v>
      </c>
      <c r="D18" s="32" t="s">
        <v>143</v>
      </c>
      <c r="E18" s="33">
        <v>0</v>
      </c>
      <c r="F18" s="33">
        <v>0</v>
      </c>
    </row>
    <row r="19" spans="1:6" ht="18.75">
      <c r="A19" s="32" t="s">
        <v>41</v>
      </c>
      <c r="B19" s="10">
        <v>0</v>
      </c>
      <c r="C19" s="10">
        <v>0</v>
      </c>
      <c r="D19" s="32" t="s">
        <v>144</v>
      </c>
      <c r="E19" s="33">
        <v>0</v>
      </c>
      <c r="F19" s="33">
        <v>0</v>
      </c>
    </row>
    <row r="20" spans="1:6" ht="18.75">
      <c r="A20" s="32" t="s">
        <v>145</v>
      </c>
      <c r="B20" s="10">
        <v>11695600</v>
      </c>
      <c r="C20" s="10">
        <f>C21+C22+C23</f>
        <v>11705600</v>
      </c>
      <c r="D20" s="32" t="s">
        <v>146</v>
      </c>
      <c r="E20" s="10">
        <v>-150000</v>
      </c>
      <c r="F20" s="10">
        <v>0</v>
      </c>
    </row>
    <row r="21" spans="1:6" ht="12.75">
      <c r="A21" s="34" t="s">
        <v>147</v>
      </c>
      <c r="B21" s="10">
        <v>11695600</v>
      </c>
      <c r="C21" s="10">
        <v>11705600</v>
      </c>
      <c r="D21" s="36" t="s">
        <v>148</v>
      </c>
      <c r="E21" s="31">
        <v>0</v>
      </c>
      <c r="F21" s="31">
        <v>0</v>
      </c>
    </row>
    <row r="22" spans="1:6" ht="19.5">
      <c r="A22" s="34" t="s">
        <v>149</v>
      </c>
      <c r="B22" s="10">
        <v>0</v>
      </c>
      <c r="C22" s="10">
        <v>0</v>
      </c>
      <c r="D22" s="34" t="s">
        <v>150</v>
      </c>
      <c r="E22" s="33">
        <v>0</v>
      </c>
      <c r="F22" s="33">
        <v>0</v>
      </c>
    </row>
    <row r="23" spans="1:6" ht="19.5">
      <c r="A23" s="34" t="s">
        <v>151</v>
      </c>
      <c r="B23" s="10">
        <v>0</v>
      </c>
      <c r="C23" s="10">
        <v>0</v>
      </c>
      <c r="D23" s="34" t="s">
        <v>152</v>
      </c>
      <c r="E23" s="33">
        <v>0</v>
      </c>
      <c r="F23" s="33">
        <v>0</v>
      </c>
    </row>
    <row r="24" spans="1:6" ht="18.75">
      <c r="A24" s="32" t="s">
        <v>153</v>
      </c>
      <c r="B24" s="10">
        <v>0</v>
      </c>
      <c r="C24" s="10">
        <v>0</v>
      </c>
      <c r="D24" s="36" t="s">
        <v>154</v>
      </c>
      <c r="E24" s="31">
        <v>6547748.17</v>
      </c>
      <c r="F24" s="31">
        <v>9393195.16</v>
      </c>
    </row>
    <row r="25" spans="1:6" ht="27.75">
      <c r="A25" s="36" t="s">
        <v>75</v>
      </c>
      <c r="B25" s="14">
        <v>6696404.6</v>
      </c>
      <c r="C25" s="14">
        <f>C26+C31+C37+C41+C42</f>
        <v>8444021.71</v>
      </c>
      <c r="D25" s="36" t="s">
        <v>155</v>
      </c>
      <c r="E25" s="31">
        <v>2717827.25</v>
      </c>
      <c r="F25" s="31">
        <f>F26+F35</f>
        <v>3003823.5799999996</v>
      </c>
    </row>
    <row r="26" spans="1:6" ht="18.75">
      <c r="A26" s="32" t="s">
        <v>77</v>
      </c>
      <c r="B26" s="10">
        <v>69175.37</v>
      </c>
      <c r="C26" s="10">
        <f>C27+C28+C29+C30</f>
        <v>69588.23999999999</v>
      </c>
      <c r="D26" s="32" t="s">
        <v>156</v>
      </c>
      <c r="E26" s="33">
        <v>2259722.56</v>
      </c>
      <c r="F26" s="33">
        <f>F27+F28+F29+F30+F31+F32+F33+F34</f>
        <v>2498664.8899999997</v>
      </c>
    </row>
    <row r="27" spans="1:6" ht="19.5">
      <c r="A27" s="34" t="s">
        <v>157</v>
      </c>
      <c r="B27" s="10">
        <v>40721.04</v>
      </c>
      <c r="C27" s="10">
        <v>47252.14</v>
      </c>
      <c r="D27" s="34" t="s">
        <v>158</v>
      </c>
      <c r="E27" s="33">
        <v>599249.45</v>
      </c>
      <c r="F27" s="33">
        <v>649128.84</v>
      </c>
    </row>
    <row r="28" spans="1:6" ht="19.5">
      <c r="A28" s="34" t="s">
        <v>159</v>
      </c>
      <c r="B28" s="10">
        <v>0</v>
      </c>
      <c r="C28" s="10">
        <v>0</v>
      </c>
      <c r="D28" s="34" t="s">
        <v>160</v>
      </c>
      <c r="E28" s="33">
        <v>153846.47</v>
      </c>
      <c r="F28" s="33">
        <v>174268.58</v>
      </c>
    </row>
    <row r="29" spans="1:6" ht="19.5">
      <c r="A29" s="34" t="s">
        <v>161</v>
      </c>
      <c r="B29" s="10">
        <v>0</v>
      </c>
      <c r="C29" s="10">
        <v>0</v>
      </c>
      <c r="D29" s="34" t="s">
        <v>162</v>
      </c>
      <c r="E29" s="33">
        <v>582730.27</v>
      </c>
      <c r="F29" s="33">
        <v>638364.38</v>
      </c>
    </row>
    <row r="30" spans="1:6" ht="19.5">
      <c r="A30" s="34" t="s">
        <v>163</v>
      </c>
      <c r="B30" s="10">
        <v>28454.33</v>
      </c>
      <c r="C30" s="10">
        <v>22336.1</v>
      </c>
      <c r="D30" s="34" t="s">
        <v>164</v>
      </c>
      <c r="E30" s="33">
        <v>544816.7</v>
      </c>
      <c r="F30" s="33">
        <v>593987.9</v>
      </c>
    </row>
    <row r="31" spans="1:6" ht="18.75">
      <c r="A31" s="32" t="s">
        <v>165</v>
      </c>
      <c r="B31" s="10">
        <v>4256943.25</v>
      </c>
      <c r="C31" s="10">
        <f>C32+C33+C34+C35+C36</f>
        <v>4902305.83</v>
      </c>
      <c r="D31" s="34" t="s">
        <v>166</v>
      </c>
      <c r="E31" s="33">
        <v>171529.26</v>
      </c>
      <c r="F31" s="33">
        <v>190139.45</v>
      </c>
    </row>
    <row r="32" spans="1:6" ht="19.5">
      <c r="A32" s="34" t="s">
        <v>167</v>
      </c>
      <c r="B32" s="10">
        <v>248668.57</v>
      </c>
      <c r="C32" s="10">
        <v>350620.42</v>
      </c>
      <c r="D32" s="34" t="s">
        <v>168</v>
      </c>
      <c r="E32" s="33">
        <v>196648.59</v>
      </c>
      <c r="F32" s="33">
        <v>224134.13</v>
      </c>
    </row>
    <row r="33" spans="1:6" ht="29.25">
      <c r="A33" s="34" t="s">
        <v>169</v>
      </c>
      <c r="B33" s="10">
        <v>7171.89</v>
      </c>
      <c r="C33" s="10">
        <v>751116.21</v>
      </c>
      <c r="D33" s="34" t="s">
        <v>170</v>
      </c>
      <c r="E33" s="33">
        <v>0</v>
      </c>
      <c r="F33" s="33">
        <v>17739.79</v>
      </c>
    </row>
    <row r="34" spans="1:6" ht="19.5">
      <c r="A34" s="34" t="s">
        <v>171</v>
      </c>
      <c r="B34" s="10">
        <v>0</v>
      </c>
      <c r="C34" s="10">
        <v>0</v>
      </c>
      <c r="D34" s="34" t="s">
        <v>172</v>
      </c>
      <c r="E34" s="33">
        <v>10901.82</v>
      </c>
      <c r="F34" s="33">
        <v>10901.82</v>
      </c>
    </row>
    <row r="35" spans="1:6" ht="12.75">
      <c r="A35" s="34" t="s">
        <v>173</v>
      </c>
      <c r="B35" s="10">
        <v>4001102.79</v>
      </c>
      <c r="C35" s="10">
        <v>3739414.61</v>
      </c>
      <c r="D35" s="32" t="s">
        <v>174</v>
      </c>
      <c r="E35" s="33">
        <v>458104.69</v>
      </c>
      <c r="F35" s="33">
        <f>F36+F37</f>
        <v>505158.68999999994</v>
      </c>
    </row>
    <row r="36" spans="1:6" ht="39">
      <c r="A36" s="34" t="s">
        <v>175</v>
      </c>
      <c r="B36" s="10">
        <v>0</v>
      </c>
      <c r="C36" s="10">
        <v>61154.59</v>
      </c>
      <c r="D36" s="34" t="s">
        <v>176</v>
      </c>
      <c r="E36" s="33">
        <v>373877.51</v>
      </c>
      <c r="F36" s="33">
        <v>382336.29</v>
      </c>
    </row>
    <row r="37" spans="1:6" ht="12.75">
      <c r="A37" s="32" t="s">
        <v>177</v>
      </c>
      <c r="B37" s="10">
        <v>2370285.98</v>
      </c>
      <c r="C37" s="10">
        <f>C40+C39+C38</f>
        <v>3472127.64</v>
      </c>
      <c r="D37" s="34" t="s">
        <v>178</v>
      </c>
      <c r="E37" s="33">
        <v>84227.18</v>
      </c>
      <c r="F37" s="33">
        <v>122822.4</v>
      </c>
    </row>
    <row r="38" spans="1:6" ht="18.75">
      <c r="A38" s="34" t="s">
        <v>179</v>
      </c>
      <c r="B38" s="10">
        <v>2466.87</v>
      </c>
      <c r="C38" s="10">
        <v>1745.77</v>
      </c>
      <c r="D38" s="36" t="s">
        <v>180</v>
      </c>
      <c r="E38" s="31">
        <v>0</v>
      </c>
      <c r="F38" s="31">
        <f>F39+F40</f>
        <v>532678.9</v>
      </c>
    </row>
    <row r="39" spans="1:6" ht="19.5">
      <c r="A39" s="34" t="s">
        <v>181</v>
      </c>
      <c r="B39" s="10">
        <v>2361154.8</v>
      </c>
      <c r="C39" s="10">
        <v>3447541.54</v>
      </c>
      <c r="D39" s="32" t="s">
        <v>182</v>
      </c>
      <c r="E39" s="33">
        <v>0</v>
      </c>
      <c r="F39" s="33">
        <v>532678.9</v>
      </c>
    </row>
    <row r="40" spans="1:6" ht="18.75">
      <c r="A40" s="34" t="s">
        <v>183</v>
      </c>
      <c r="B40" s="10">
        <v>6664.31</v>
      </c>
      <c r="C40" s="10">
        <v>22840.33</v>
      </c>
      <c r="D40" s="32" t="s">
        <v>184</v>
      </c>
      <c r="E40" s="33">
        <v>0</v>
      </c>
      <c r="F40" s="33">
        <v>0</v>
      </c>
    </row>
    <row r="41" spans="1:6" ht="18.75">
      <c r="A41" s="32" t="s">
        <v>185</v>
      </c>
      <c r="B41" s="10">
        <v>0</v>
      </c>
      <c r="C41" s="10">
        <v>0</v>
      </c>
      <c r="D41" s="36" t="s">
        <v>186</v>
      </c>
      <c r="E41" s="31">
        <v>575317</v>
      </c>
      <c r="F41" s="31">
        <v>579128</v>
      </c>
    </row>
    <row r="42" spans="1:6" ht="18.75">
      <c r="A42" s="32" t="s">
        <v>187</v>
      </c>
      <c r="B42" s="10">
        <v>0</v>
      </c>
      <c r="C42" s="10">
        <v>0</v>
      </c>
      <c r="D42" s="21"/>
      <c r="E42" s="33"/>
      <c r="F42" s="33"/>
    </row>
    <row r="43" spans="1:6" ht="12.75">
      <c r="A43" s="36" t="s">
        <v>188</v>
      </c>
      <c r="B43" s="14">
        <v>0</v>
      </c>
      <c r="C43" s="14">
        <v>0</v>
      </c>
      <c r="D43" s="21"/>
      <c r="E43" s="33"/>
      <c r="F43" s="33"/>
    </row>
    <row r="44" spans="1:6" ht="12.75">
      <c r="A44" s="36" t="s">
        <v>189</v>
      </c>
      <c r="B44" s="14">
        <v>123106510.3</v>
      </c>
      <c r="C44" s="14">
        <f>C8+C25+C43</f>
        <v>126209860.69</v>
      </c>
      <c r="D44" s="30" t="s">
        <v>190</v>
      </c>
      <c r="E44" s="31">
        <v>123106510.3</v>
      </c>
      <c r="F44" s="31">
        <f>F8+F21+F24+F25+F38+F41</f>
        <v>126209860.69</v>
      </c>
    </row>
    <row r="46" spans="1:6" ht="12.75">
      <c r="A46" s="133" t="s">
        <v>114</v>
      </c>
      <c r="B46" s="133"/>
      <c r="C46" s="133"/>
      <c r="D46" s="133"/>
      <c r="E46" s="133"/>
      <c r="F46" s="133"/>
    </row>
    <row r="47" spans="1:6" ht="12.75">
      <c r="A47" s="133" t="s">
        <v>115</v>
      </c>
      <c r="B47" s="133"/>
      <c r="C47" s="133"/>
      <c r="D47" s="133"/>
      <c r="E47" s="133"/>
      <c r="F47" s="133"/>
    </row>
    <row r="48" spans="1:6" ht="12.75">
      <c r="A48" s="25" t="s">
        <v>116</v>
      </c>
      <c r="B48" s="25"/>
      <c r="C48" s="25"/>
      <c r="D48" s="25"/>
      <c r="E48" s="25"/>
      <c r="F48" s="25"/>
    </row>
    <row r="49" spans="1:6" ht="12.75">
      <c r="A49" s="25" t="s">
        <v>117</v>
      </c>
      <c r="B49" s="25"/>
      <c r="C49" s="25"/>
      <c r="D49" s="25"/>
      <c r="E49" s="25"/>
      <c r="F49" s="25"/>
    </row>
    <row r="50" spans="1:6" ht="12.75">
      <c r="A50" s="25" t="s">
        <v>118</v>
      </c>
      <c r="B50" s="25"/>
      <c r="C50" s="25"/>
      <c r="D50" s="25"/>
      <c r="E50" s="25"/>
      <c r="F50" s="25"/>
    </row>
    <row r="51" spans="1:6" ht="12.75">
      <c r="A51" s="25" t="s">
        <v>119</v>
      </c>
      <c r="B51" s="25"/>
      <c r="C51" s="25"/>
      <c r="D51" s="25"/>
      <c r="E51" s="25"/>
      <c r="F51" s="25"/>
    </row>
    <row r="52" spans="1:6" ht="12.75">
      <c r="A52" s="25" t="s">
        <v>120</v>
      </c>
      <c r="B52" s="25"/>
      <c r="C52" s="25"/>
      <c r="D52" s="25"/>
      <c r="E52" s="25"/>
      <c r="F52" s="25"/>
    </row>
    <row r="55" spans="1:5" ht="12.75">
      <c r="A55" s="26" t="s">
        <v>110</v>
      </c>
      <c r="C55" s="26" t="s">
        <v>111</v>
      </c>
      <c r="E55" s="26" t="s">
        <v>112</v>
      </c>
    </row>
  </sheetData>
  <mergeCells count="11">
    <mergeCell ref="A2:B3"/>
    <mergeCell ref="C2:D2"/>
    <mergeCell ref="E2:F3"/>
    <mergeCell ref="C3:D3"/>
    <mergeCell ref="A46:F46"/>
    <mergeCell ref="A47:F47"/>
    <mergeCell ref="A4:B4"/>
    <mergeCell ref="C4:D4"/>
    <mergeCell ref="E4:F5"/>
    <mergeCell ref="A5:B5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3"/>
  <sheetViews>
    <sheetView zoomScale="120" zoomScaleNormal="120" workbookViewId="0" topLeftCell="A34">
      <selection activeCell="A21" sqref="A21:IV21"/>
    </sheetView>
  </sheetViews>
  <sheetFormatPr defaultColWidth="9.140625" defaultRowHeight="12.75"/>
  <cols>
    <col min="1" max="1" width="22.140625" style="0" customWidth="1"/>
    <col min="2" max="2" width="11.7109375" style="0" customWidth="1"/>
    <col min="3" max="3" width="10.421875" style="0" customWidth="1"/>
    <col min="4" max="4" width="20.421875" style="0" customWidth="1"/>
    <col min="5" max="6" width="10.421875" style="0" customWidth="1"/>
  </cols>
  <sheetData>
    <row r="2" spans="1:6" ht="21" customHeight="1">
      <c r="A2" s="113" t="s">
        <v>0</v>
      </c>
      <c r="B2" s="114"/>
      <c r="C2" s="132" t="s">
        <v>121</v>
      </c>
      <c r="D2" s="118"/>
      <c r="E2" s="113" t="s">
        <v>122</v>
      </c>
      <c r="F2" s="114"/>
    </row>
    <row r="3" spans="1:6" ht="12.75">
      <c r="A3" s="115"/>
      <c r="B3" s="116"/>
      <c r="C3" s="130" t="s">
        <v>123</v>
      </c>
      <c r="D3" s="120"/>
      <c r="E3" s="115"/>
      <c r="F3" s="116"/>
    </row>
    <row r="4" spans="1:6" ht="33" customHeight="1">
      <c r="A4" s="126" t="s">
        <v>2</v>
      </c>
      <c r="B4" s="127"/>
      <c r="C4" s="130" t="s">
        <v>259</v>
      </c>
      <c r="D4" s="120"/>
      <c r="E4" s="113" t="s">
        <v>3</v>
      </c>
      <c r="F4" s="114"/>
    </row>
    <row r="5" spans="1:6" ht="12.75" customHeight="1">
      <c r="A5" s="131" t="s">
        <v>4</v>
      </c>
      <c r="B5" s="110"/>
      <c r="C5" s="109" t="s">
        <v>260</v>
      </c>
      <c r="D5" s="122"/>
      <c r="E5" s="115"/>
      <c r="F5" s="116"/>
    </row>
    <row r="6" spans="1:6" ht="12.75">
      <c r="A6" s="25"/>
      <c r="B6" s="25"/>
      <c r="C6" s="25"/>
      <c r="D6" s="25"/>
      <c r="E6" s="25"/>
      <c r="F6" s="25"/>
    </row>
    <row r="7" spans="1:6" ht="19.5">
      <c r="A7" s="27" t="s">
        <v>5</v>
      </c>
      <c r="B7" s="28" t="s">
        <v>124</v>
      </c>
      <c r="C7" s="28" t="s">
        <v>125</v>
      </c>
      <c r="D7" s="29" t="s">
        <v>7</v>
      </c>
      <c r="E7" s="28" t="s">
        <v>124</v>
      </c>
      <c r="F7" s="28" t="s">
        <v>125</v>
      </c>
    </row>
    <row r="8" spans="1:6" ht="12.75">
      <c r="A8" s="30" t="s">
        <v>11</v>
      </c>
      <c r="B8" s="14">
        <v>116410105.7</v>
      </c>
      <c r="C8" s="14" t="e">
        <f>'[1]Arkusz2 (2)'!C8+#REF!</f>
        <v>#REF!</v>
      </c>
      <c r="D8" s="30" t="s">
        <v>126</v>
      </c>
      <c r="E8" s="31">
        <v>113265617.88</v>
      </c>
      <c r="F8" s="31" t="e">
        <f>'[1]Arkusz2 (2)'!F8+#REF!</f>
        <v>#REF!</v>
      </c>
    </row>
    <row r="9" spans="1:6" ht="18.75">
      <c r="A9" s="32" t="s">
        <v>13</v>
      </c>
      <c r="B9" s="10">
        <v>33526.35</v>
      </c>
      <c r="C9" s="10" t="e">
        <f>'[1]Arkusz2'!C9+#REF!</f>
        <v>#REF!</v>
      </c>
      <c r="D9" s="32" t="s">
        <v>127</v>
      </c>
      <c r="E9" s="33">
        <v>135437042.56</v>
      </c>
      <c r="F9" s="33" t="e">
        <f>'[1]Arkusz2 (2)'!F9+#REF!</f>
        <v>#REF!</v>
      </c>
    </row>
    <row r="10" spans="1:6" ht="12.75">
      <c r="A10" s="32" t="s">
        <v>23</v>
      </c>
      <c r="B10" s="10">
        <v>104680979.35000001</v>
      </c>
      <c r="C10" s="10" t="e">
        <f>'[1]Arkusz2 (2)'!C10+#REF!</f>
        <v>#REF!</v>
      </c>
      <c r="D10" s="32" t="s">
        <v>128</v>
      </c>
      <c r="E10" s="10">
        <v>-16389562.84</v>
      </c>
      <c r="F10" s="10" t="e">
        <f>'[1]Arkusz2 (2)'!F10+#REF!</f>
        <v>#REF!</v>
      </c>
    </row>
    <row r="11" spans="1:6" ht="12.75">
      <c r="A11" s="21" t="s">
        <v>25</v>
      </c>
      <c r="B11" s="10">
        <v>104435410.81</v>
      </c>
      <c r="C11" s="10" t="e">
        <f>'[1]Arkusz2 (2)'!C11+#REF!</f>
        <v>#REF!</v>
      </c>
      <c r="D11" s="34" t="s">
        <v>129</v>
      </c>
      <c r="E11" s="33">
        <v>123990.59</v>
      </c>
      <c r="F11" s="33" t="e">
        <f>'[1]Arkusz2 (2)'!F11+#REF!</f>
        <v>#REF!</v>
      </c>
    </row>
    <row r="12" spans="1:6" ht="12.75">
      <c r="A12" s="21" t="s">
        <v>130</v>
      </c>
      <c r="B12" s="10">
        <v>52694728.7</v>
      </c>
      <c r="C12" s="10" t="e">
        <f>'[1]Arkusz2 (2)'!C12+#REF!</f>
        <v>#REF!</v>
      </c>
      <c r="D12" s="34" t="s">
        <v>131</v>
      </c>
      <c r="E12" s="33">
        <v>16513553.43</v>
      </c>
      <c r="F12" s="33">
        <f>'[1]Arkusz2 (2)'!F12</f>
        <v>7308884.69</v>
      </c>
    </row>
    <row r="13" spans="1:6" ht="27.75">
      <c r="A13" s="34" t="s">
        <v>132</v>
      </c>
      <c r="B13" s="10">
        <v>50290739.5</v>
      </c>
      <c r="C13" s="10" t="e">
        <f>'[1]Arkusz2 (2)'!C13+#REF!</f>
        <v>#REF!</v>
      </c>
      <c r="D13" s="32" t="s">
        <v>133</v>
      </c>
      <c r="E13" s="10">
        <v>-3270506.48</v>
      </c>
      <c r="F13" s="10">
        <f>'[1]Arkusz2 (2)'!F13</f>
        <v>-4413230.24</v>
      </c>
    </row>
    <row r="14" spans="1:6" ht="19.5">
      <c r="A14" s="34" t="s">
        <v>134</v>
      </c>
      <c r="B14" s="10">
        <v>1030755.64</v>
      </c>
      <c r="C14" s="10" t="e">
        <f>'[1]Arkusz2 (2)'!C14+#REF!</f>
        <v>#REF!</v>
      </c>
      <c r="D14" s="32" t="s">
        <v>135</v>
      </c>
      <c r="E14" s="10">
        <v>-989472.12</v>
      </c>
      <c r="F14" s="10">
        <f>'[1]Arkusz2 (2)'!F14</f>
        <v>-2536611.51</v>
      </c>
    </row>
    <row r="15" spans="1:6" ht="19.5">
      <c r="A15" s="34" t="s">
        <v>136</v>
      </c>
      <c r="B15" s="10">
        <v>337551.48</v>
      </c>
      <c r="C15" s="10" t="e">
        <f>'[1]Arkusz2 (2)'!C15+#REF!</f>
        <v>#REF!</v>
      </c>
      <c r="D15" s="35" t="s">
        <v>137</v>
      </c>
      <c r="E15" s="10">
        <v>0</v>
      </c>
      <c r="F15" s="10">
        <f>'[1]Arkusz2 (2)'!F15</f>
        <v>0</v>
      </c>
    </row>
    <row r="16" spans="1:6" ht="19.5">
      <c r="A16" s="34" t="s">
        <v>138</v>
      </c>
      <c r="B16" s="10">
        <v>81635.49</v>
      </c>
      <c r="C16" s="10" t="e">
        <f>'[1]Arkusz2 (2)'!C16+#REF!</f>
        <v>#REF!</v>
      </c>
      <c r="D16" s="35" t="s">
        <v>139</v>
      </c>
      <c r="E16" s="10">
        <v>-1371883.24</v>
      </c>
      <c r="F16" s="10">
        <f>'[1]Arkusz2 (2)'!F16</f>
        <v>-14575.91</v>
      </c>
    </row>
    <row r="17" spans="1:6" ht="19.5">
      <c r="A17" s="34" t="s">
        <v>140</v>
      </c>
      <c r="B17" s="10">
        <v>245568.54</v>
      </c>
      <c r="C17" s="10" t="e">
        <f>'[1]Arkusz2 (2)'!C17+#REF!</f>
        <v>#REF!</v>
      </c>
      <c r="D17" s="32" t="s">
        <v>141</v>
      </c>
      <c r="E17" s="33">
        <v>0</v>
      </c>
      <c r="F17" s="33">
        <f>'[1]Arkusz2 (2)'!F17</f>
        <v>0</v>
      </c>
    </row>
    <row r="18" spans="1:6" ht="19.5">
      <c r="A18" s="34" t="s">
        <v>142</v>
      </c>
      <c r="B18" s="10">
        <v>0</v>
      </c>
      <c r="C18" s="10" t="e">
        <f>'[1]Arkusz2 (2)'!C18+#REF!</f>
        <v>#REF!</v>
      </c>
      <c r="D18" s="32" t="s">
        <v>143</v>
      </c>
      <c r="E18" s="33">
        <v>0</v>
      </c>
      <c r="F18" s="33">
        <f>'[1]Arkusz2 (2)'!F18</f>
        <v>0</v>
      </c>
    </row>
    <row r="19" spans="1:6" ht="18.75">
      <c r="A19" s="32" t="s">
        <v>41</v>
      </c>
      <c r="B19" s="10">
        <v>0</v>
      </c>
      <c r="C19" s="10">
        <v>0</v>
      </c>
      <c r="D19" s="32" t="s">
        <v>144</v>
      </c>
      <c r="E19" s="33">
        <v>0</v>
      </c>
      <c r="F19" s="33">
        <f>'[1]Arkusz2 (2)'!F19</f>
        <v>0</v>
      </c>
    </row>
    <row r="20" spans="1:6" ht="18.75">
      <c r="A20" s="32" t="s">
        <v>145</v>
      </c>
      <c r="B20" s="10">
        <v>11695600</v>
      </c>
      <c r="C20" s="10">
        <v>11705600</v>
      </c>
      <c r="D20" s="32" t="s">
        <v>146</v>
      </c>
      <c r="E20" s="10">
        <v>-150000</v>
      </c>
      <c r="F20" s="10">
        <v>-40.93</v>
      </c>
    </row>
    <row r="21" spans="1:6" ht="12.75">
      <c r="A21" s="34" t="s">
        <v>147</v>
      </c>
      <c r="B21" s="10">
        <v>11695600</v>
      </c>
      <c r="C21" s="10">
        <v>11705600</v>
      </c>
      <c r="D21" s="36" t="s">
        <v>148</v>
      </c>
      <c r="E21" s="31">
        <v>0</v>
      </c>
      <c r="F21" s="31">
        <v>0</v>
      </c>
    </row>
    <row r="22" spans="1:6" ht="19.5">
      <c r="A22" s="34" t="s">
        <v>149</v>
      </c>
      <c r="B22" s="10">
        <v>0</v>
      </c>
      <c r="C22" s="10">
        <v>0</v>
      </c>
      <c r="D22" s="34" t="s">
        <v>150</v>
      </c>
      <c r="E22" s="33">
        <v>0</v>
      </c>
      <c r="F22" s="33">
        <v>0</v>
      </c>
    </row>
    <row r="23" spans="1:6" ht="19.5">
      <c r="A23" s="34" t="s">
        <v>151</v>
      </c>
      <c r="B23" s="10">
        <v>0</v>
      </c>
      <c r="C23" s="10">
        <v>0</v>
      </c>
      <c r="D23" s="34" t="s">
        <v>152</v>
      </c>
      <c r="E23" s="33">
        <v>0</v>
      </c>
      <c r="F23" s="33">
        <v>0</v>
      </c>
    </row>
    <row r="24" spans="1:6" ht="18.75">
      <c r="A24" s="32" t="s">
        <v>153</v>
      </c>
      <c r="B24" s="10">
        <v>0</v>
      </c>
      <c r="C24" s="10">
        <v>0</v>
      </c>
      <c r="D24" s="36" t="s">
        <v>154</v>
      </c>
      <c r="E24" s="31">
        <v>6547748.17</v>
      </c>
      <c r="F24" s="31" t="e">
        <f>'[1]Arkusz2 (2)'!F24+#REF!</f>
        <v>#REF!</v>
      </c>
    </row>
    <row r="25" spans="1:6" ht="27.75">
      <c r="A25" s="36" t="s">
        <v>75</v>
      </c>
      <c r="B25" s="14">
        <v>6696404.6</v>
      </c>
      <c r="C25" s="14" t="e">
        <f>'[1]Arkusz2 (2)'!C25+#REF!</f>
        <v>#REF!</v>
      </c>
      <c r="D25" s="36" t="s">
        <v>155</v>
      </c>
      <c r="E25" s="31">
        <v>2717827.25</v>
      </c>
      <c r="F25" s="31" t="e">
        <f>F26+F35</f>
        <v>#REF!</v>
      </c>
    </row>
    <row r="26" spans="1:6" ht="18.75">
      <c r="A26" s="32" t="s">
        <v>77</v>
      </c>
      <c r="B26" s="10">
        <v>69175.37</v>
      </c>
      <c r="C26" s="10" t="e">
        <f>'[1]Arkusz2 (2)'!C26+#REF!</f>
        <v>#REF!</v>
      </c>
      <c r="D26" s="32" t="s">
        <v>156</v>
      </c>
      <c r="E26" s="33">
        <v>2259722.56</v>
      </c>
      <c r="F26" s="33" t="e">
        <f>F27+F28+F29+F30+F31+F32+F33+F34</f>
        <v>#REF!</v>
      </c>
    </row>
    <row r="27" spans="1:6" ht="19.5">
      <c r="A27" s="34" t="s">
        <v>157</v>
      </c>
      <c r="B27" s="10">
        <v>40721.04</v>
      </c>
      <c r="C27" s="10" t="e">
        <f>'[1]Arkusz2 (2)'!C27+#REF!</f>
        <v>#REF!</v>
      </c>
      <c r="D27" s="34" t="s">
        <v>158</v>
      </c>
      <c r="E27" s="33">
        <v>599249.45</v>
      </c>
      <c r="F27" s="33" t="e">
        <f>'[1]Arkusz2 (2)'!F27+#REF!+#REF!</f>
        <v>#REF!</v>
      </c>
    </row>
    <row r="28" spans="1:6" ht="19.5">
      <c r="A28" s="34" t="s">
        <v>159</v>
      </c>
      <c r="B28" s="10">
        <v>0</v>
      </c>
      <c r="C28" s="10" t="e">
        <f>'[1]Arkusz2 (2)'!C28+#REF!</f>
        <v>#REF!</v>
      </c>
      <c r="D28" s="34" t="s">
        <v>160</v>
      </c>
      <c r="E28" s="33">
        <v>153846.47</v>
      </c>
      <c r="F28" s="33">
        <f>'[1]Arkusz2 (2)'!F28</f>
        <v>174268.58</v>
      </c>
    </row>
    <row r="29" spans="1:6" ht="19.5">
      <c r="A29" s="34" t="s">
        <v>161</v>
      </c>
      <c r="B29" s="10">
        <v>0</v>
      </c>
      <c r="C29" s="10" t="e">
        <f>'[1]Arkusz2 (2)'!C29+#REF!</f>
        <v>#REF!</v>
      </c>
      <c r="D29" s="34" t="s">
        <v>162</v>
      </c>
      <c r="E29" s="33">
        <v>582730.27</v>
      </c>
      <c r="F29" s="33">
        <f>'[1]Arkusz2 (2)'!F29</f>
        <v>638364.38</v>
      </c>
    </row>
    <row r="30" spans="1:6" ht="19.5">
      <c r="A30" s="34" t="s">
        <v>163</v>
      </c>
      <c r="B30" s="10">
        <v>28454.33</v>
      </c>
      <c r="C30" s="10" t="e">
        <f>'[1]Arkusz2 (2)'!C30+#REF!</f>
        <v>#REF!</v>
      </c>
      <c r="D30" s="34" t="s">
        <v>164</v>
      </c>
      <c r="E30" s="33">
        <v>544816.7</v>
      </c>
      <c r="F30" s="33">
        <f>'[1]Arkusz2 (2)'!F30</f>
        <v>593987.9</v>
      </c>
    </row>
    <row r="31" spans="1:6" ht="12.75">
      <c r="A31" s="32" t="s">
        <v>165</v>
      </c>
      <c r="B31" s="10">
        <v>4256943.25</v>
      </c>
      <c r="C31" s="10" t="e">
        <f>'[1]Arkusz2 (2)'!C31+#REF!</f>
        <v>#REF!</v>
      </c>
      <c r="D31" s="34" t="s">
        <v>166</v>
      </c>
      <c r="E31" s="33">
        <v>171529.26</v>
      </c>
      <c r="F31" s="33" t="e">
        <f>'[1]Arkusz2 (2)'!F31+#REF!</f>
        <v>#REF!</v>
      </c>
    </row>
    <row r="32" spans="1:6" ht="29.25">
      <c r="A32" s="34" t="s">
        <v>167</v>
      </c>
      <c r="B32" s="10">
        <v>248668.57</v>
      </c>
      <c r="C32" s="10" t="e">
        <f>'[1]Arkusz2 (2)'!C32+#REF!</f>
        <v>#REF!</v>
      </c>
      <c r="D32" s="34" t="s">
        <v>168</v>
      </c>
      <c r="E32" s="33">
        <v>196648.59</v>
      </c>
      <c r="F32" s="33">
        <f>'[1]Arkusz2 (2)'!F32</f>
        <v>224134.13</v>
      </c>
    </row>
    <row r="33" spans="1:6" ht="29.25">
      <c r="A33" s="34" t="s">
        <v>169</v>
      </c>
      <c r="B33" s="10">
        <v>7171.89</v>
      </c>
      <c r="C33" s="10">
        <f>'[1]Arkusz2 (2)'!C33</f>
        <v>751116.21</v>
      </c>
      <c r="D33" s="34" t="s">
        <v>170</v>
      </c>
      <c r="E33" s="33">
        <v>0</v>
      </c>
      <c r="F33" s="33">
        <f>'[1]Arkusz2 (2)'!F33</f>
        <v>17739.79</v>
      </c>
    </row>
    <row r="34" spans="1:6" ht="19.5">
      <c r="A34" s="34" t="s">
        <v>171</v>
      </c>
      <c r="B34" s="10">
        <v>0</v>
      </c>
      <c r="C34" s="10">
        <v>0</v>
      </c>
      <c r="D34" s="34" t="s">
        <v>172</v>
      </c>
      <c r="E34" s="33">
        <v>10901.82</v>
      </c>
      <c r="F34" s="33">
        <f>'[1]Arkusz2 (2)'!F34</f>
        <v>10901.82</v>
      </c>
    </row>
    <row r="35" spans="1:6" ht="12.75">
      <c r="A35" s="34" t="s">
        <v>173</v>
      </c>
      <c r="B35" s="10">
        <v>4001102.79</v>
      </c>
      <c r="C35" s="10">
        <v>3767956</v>
      </c>
      <c r="D35" s="32" t="s">
        <v>174</v>
      </c>
      <c r="E35" s="33">
        <v>458104.69</v>
      </c>
      <c r="F35" s="33" t="e">
        <f>F36+F37</f>
        <v>#REF!</v>
      </c>
    </row>
    <row r="36" spans="1:6" ht="29.25">
      <c r="A36" s="34" t="s">
        <v>175</v>
      </c>
      <c r="B36" s="10">
        <v>0</v>
      </c>
      <c r="C36" s="10" t="e">
        <f>'[1]Arkusz2 (2)'!C36+#REF!</f>
        <v>#REF!</v>
      </c>
      <c r="D36" s="34" t="s">
        <v>176</v>
      </c>
      <c r="E36" s="33">
        <v>373877.51</v>
      </c>
      <c r="F36" s="33">
        <f>'[1]Arkusz2 (2)'!F36</f>
        <v>382336.29</v>
      </c>
    </row>
    <row r="37" spans="1:6" ht="12.75">
      <c r="A37" s="32" t="s">
        <v>177</v>
      </c>
      <c r="B37" s="10">
        <v>2370285.98</v>
      </c>
      <c r="C37" s="10" t="e">
        <f>'[1]Arkusz2 (2)'!C37+#REF!</f>
        <v>#REF!</v>
      </c>
      <c r="D37" s="34" t="s">
        <v>178</v>
      </c>
      <c r="E37" s="33">
        <v>84227.18</v>
      </c>
      <c r="F37" s="33" t="e">
        <f>'[1]Arkusz2 (2)'!F37+#REF!</f>
        <v>#REF!</v>
      </c>
    </row>
    <row r="38" spans="1:6" ht="18.75">
      <c r="A38" s="34" t="s">
        <v>179</v>
      </c>
      <c r="B38" s="10">
        <v>2466.87</v>
      </c>
      <c r="C38" s="10">
        <v>1745.77</v>
      </c>
      <c r="D38" s="36" t="s">
        <v>180</v>
      </c>
      <c r="E38" s="31">
        <v>0</v>
      </c>
      <c r="F38" s="31">
        <f>'[1]Arkusz2 (2)'!F38</f>
        <v>532678.9</v>
      </c>
    </row>
    <row r="39" spans="1:6" ht="19.5">
      <c r="A39" s="34" t="s">
        <v>181</v>
      </c>
      <c r="B39" s="10">
        <v>2361154.8</v>
      </c>
      <c r="C39" s="10">
        <v>3487119.06</v>
      </c>
      <c r="D39" s="32" t="s">
        <v>182</v>
      </c>
      <c r="E39" s="33">
        <v>0</v>
      </c>
      <c r="F39" s="33">
        <f>'[1]Arkusz2 (2)'!F39</f>
        <v>532678.9</v>
      </c>
    </row>
    <row r="40" spans="1:6" ht="18.75">
      <c r="A40" s="34" t="s">
        <v>183</v>
      </c>
      <c r="B40" s="10">
        <v>6664.31</v>
      </c>
      <c r="C40" s="10" t="e">
        <f>'[1]Arkusz2 (2)'!C40+#REF!</f>
        <v>#REF!</v>
      </c>
      <c r="D40" s="32" t="s">
        <v>184</v>
      </c>
      <c r="E40" s="33">
        <v>0</v>
      </c>
      <c r="F40" s="33">
        <f>'[1]Arkusz2 (2)'!F40</f>
        <v>0</v>
      </c>
    </row>
    <row r="41" spans="1:6" ht="18.75">
      <c r="A41" s="32" t="s">
        <v>185</v>
      </c>
      <c r="B41" s="10">
        <v>0</v>
      </c>
      <c r="C41" s="10">
        <v>0</v>
      </c>
      <c r="D41" s="36" t="s">
        <v>186</v>
      </c>
      <c r="E41" s="31">
        <v>575317</v>
      </c>
      <c r="F41" s="31">
        <f>'[1]Arkusz2 (2)'!F41</f>
        <v>579128</v>
      </c>
    </row>
    <row r="42" spans="1:6" ht="12.75">
      <c r="A42" s="32" t="s">
        <v>187</v>
      </c>
      <c r="B42" s="10">
        <v>0</v>
      </c>
      <c r="C42" s="10" t="e">
        <f>'[1]Arkusz2 (2)'!C42+#REF!</f>
        <v>#REF!</v>
      </c>
      <c r="D42" s="21"/>
      <c r="E42" s="33"/>
      <c r="F42" s="33"/>
    </row>
    <row r="43" spans="1:6" ht="12.75">
      <c r="A43" s="36" t="s">
        <v>188</v>
      </c>
      <c r="B43" s="14">
        <v>0</v>
      </c>
      <c r="C43" s="14">
        <v>0</v>
      </c>
      <c r="D43" s="21"/>
      <c r="E43" s="33"/>
      <c r="F43" s="33"/>
    </row>
    <row r="44" spans="1:6" ht="12.75">
      <c r="A44" s="36" t="s">
        <v>189</v>
      </c>
      <c r="B44" s="14">
        <v>123106510.3</v>
      </c>
      <c r="C44" s="14" t="e">
        <f>C43+C8+C25</f>
        <v>#REF!</v>
      </c>
      <c r="D44" s="30" t="s">
        <v>190</v>
      </c>
      <c r="E44" s="31">
        <v>123106510.3</v>
      </c>
      <c r="F44" s="31" t="e">
        <f>F8+F21+F24+F25+F38+F41</f>
        <v>#REF!</v>
      </c>
    </row>
    <row r="46" spans="1:6" ht="12.75">
      <c r="A46" s="133" t="s">
        <v>114</v>
      </c>
      <c r="B46" s="133"/>
      <c r="C46" s="133"/>
      <c r="D46" s="133"/>
      <c r="E46" s="133"/>
      <c r="F46" s="133"/>
    </row>
    <row r="47" spans="1:6" ht="12.75">
      <c r="A47" s="133" t="s">
        <v>115</v>
      </c>
      <c r="B47" s="133"/>
      <c r="C47" s="133"/>
      <c r="D47" s="133"/>
      <c r="E47" s="133"/>
      <c r="F47" s="133"/>
    </row>
    <row r="48" spans="1:6" ht="12.75">
      <c r="A48" s="25" t="s">
        <v>116</v>
      </c>
      <c r="B48" s="25"/>
      <c r="C48" s="25"/>
      <c r="D48" s="25"/>
      <c r="E48" s="25"/>
      <c r="F48" s="25"/>
    </row>
    <row r="49" spans="1:6" ht="12.75">
      <c r="A49" s="25" t="s">
        <v>246</v>
      </c>
      <c r="B49" s="25"/>
      <c r="C49" s="25"/>
      <c r="D49" s="25"/>
      <c r="E49" s="25"/>
      <c r="F49" s="25"/>
    </row>
    <row r="50" spans="1:6" ht="12.75">
      <c r="A50" s="25" t="s">
        <v>247</v>
      </c>
      <c r="B50" s="25"/>
      <c r="C50" s="25"/>
      <c r="D50" s="25"/>
      <c r="E50" s="25"/>
      <c r="F50" s="25"/>
    </row>
    <row r="53" spans="1:5" ht="12.75">
      <c r="A53" s="26" t="s">
        <v>110</v>
      </c>
      <c r="C53" s="26" t="s">
        <v>111</v>
      </c>
      <c r="E53" s="26" t="s">
        <v>112</v>
      </c>
    </row>
  </sheetData>
  <mergeCells count="11">
    <mergeCell ref="A2:B3"/>
    <mergeCell ref="C2:D2"/>
    <mergeCell ref="E2:F3"/>
    <mergeCell ref="C3:D3"/>
    <mergeCell ref="A46:F46"/>
    <mergeCell ref="A47:F47"/>
    <mergeCell ref="A4:B4"/>
    <mergeCell ref="C4:D4"/>
    <mergeCell ref="E4:F5"/>
    <mergeCell ref="A5:B5"/>
    <mergeCell ref="C5:D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1">
      <selection activeCell="F7" sqref="F7"/>
    </sheetView>
  </sheetViews>
  <sheetFormatPr defaultColWidth="9.140625" defaultRowHeight="12.75"/>
  <cols>
    <col min="1" max="1" width="20.421875" style="0" customWidth="1"/>
    <col min="2" max="3" width="11.00390625" style="0" customWidth="1"/>
    <col min="4" max="4" width="19.140625" style="0" customWidth="1"/>
    <col min="5" max="5" width="11.00390625" style="0" customWidth="1"/>
    <col min="6" max="6" width="11.421875" style="0" customWidth="1"/>
  </cols>
  <sheetData>
    <row r="2" spans="1:6" ht="12.75">
      <c r="A2" s="113" t="s">
        <v>0</v>
      </c>
      <c r="B2" s="114"/>
      <c r="C2" s="132" t="s">
        <v>121</v>
      </c>
      <c r="D2" s="118"/>
      <c r="E2" s="113" t="s">
        <v>122</v>
      </c>
      <c r="F2" s="114"/>
    </row>
    <row r="3" spans="1:6" ht="12.75">
      <c r="A3" s="115"/>
      <c r="B3" s="116"/>
      <c r="C3" s="130" t="s">
        <v>123</v>
      </c>
      <c r="D3" s="120"/>
      <c r="E3" s="115"/>
      <c r="F3" s="116"/>
    </row>
    <row r="4" spans="1:6" ht="40.5" customHeight="1">
      <c r="A4" s="126" t="s">
        <v>2</v>
      </c>
      <c r="B4" s="127"/>
      <c r="C4" s="130" t="s">
        <v>261</v>
      </c>
      <c r="D4" s="120"/>
      <c r="E4" s="113" t="s">
        <v>3</v>
      </c>
      <c r="F4" s="114"/>
    </row>
    <row r="5" spans="1:6" ht="12.75">
      <c r="A5" s="131" t="s">
        <v>4</v>
      </c>
      <c r="B5" s="110"/>
      <c r="C5" s="109" t="s">
        <v>262</v>
      </c>
      <c r="D5" s="122"/>
      <c r="E5" s="115"/>
      <c r="F5" s="116"/>
    </row>
    <row r="6" spans="1:6" ht="12.75">
      <c r="A6" s="25"/>
      <c r="B6" s="25"/>
      <c r="C6" s="25"/>
      <c r="D6" s="25"/>
      <c r="E6" s="25"/>
      <c r="F6" s="25"/>
    </row>
    <row r="7" spans="1:6" ht="19.5">
      <c r="A7" s="27" t="s">
        <v>5</v>
      </c>
      <c r="B7" s="28" t="s">
        <v>124</v>
      </c>
      <c r="C7" s="28" t="s">
        <v>125</v>
      </c>
      <c r="D7" s="29" t="s">
        <v>7</v>
      </c>
      <c r="E7" s="28" t="s">
        <v>124</v>
      </c>
      <c r="F7" s="28" t="s">
        <v>125</v>
      </c>
    </row>
    <row r="8" spans="1:6" ht="12.75">
      <c r="A8" s="30" t="s">
        <v>11</v>
      </c>
      <c r="B8" s="14">
        <v>116410105.7</v>
      </c>
      <c r="C8" s="14">
        <f>C9+C10+C19+C20+C24</f>
        <v>128148177.89999998</v>
      </c>
      <c r="D8" s="30" t="s">
        <v>126</v>
      </c>
      <c r="E8" s="31">
        <v>113265617.88</v>
      </c>
      <c r="F8" s="31">
        <f>F9+F10+F13+F14+F17+F18+F19+F20</f>
        <v>124193822.63000001</v>
      </c>
    </row>
    <row r="9" spans="1:6" ht="18.75">
      <c r="A9" s="32" t="s">
        <v>13</v>
      </c>
      <c r="B9" s="10">
        <v>33526.35</v>
      </c>
      <c r="C9" s="10">
        <v>50478.35</v>
      </c>
      <c r="D9" s="32" t="s">
        <v>127</v>
      </c>
      <c r="E9" s="33">
        <v>135437042.56</v>
      </c>
      <c r="F9" s="33">
        <v>137219049.52</v>
      </c>
    </row>
    <row r="10" spans="1:6" ht="12.75">
      <c r="A10" s="32" t="s">
        <v>23</v>
      </c>
      <c r="B10" s="10">
        <v>104680979.35000001</v>
      </c>
      <c r="C10" s="10">
        <f>C11+C17+C18</f>
        <v>116296845.08999999</v>
      </c>
      <c r="D10" s="32" t="s">
        <v>128</v>
      </c>
      <c r="E10" s="10">
        <v>-16389562.84</v>
      </c>
      <c r="F10" s="10">
        <v>-6075344.21</v>
      </c>
    </row>
    <row r="11" spans="1:6" ht="12.75">
      <c r="A11" s="21" t="s">
        <v>25</v>
      </c>
      <c r="B11" s="10">
        <v>104435410.81</v>
      </c>
      <c r="C11" s="10">
        <f>C12+C13+C14+C15+C16</f>
        <v>113255550.16999999</v>
      </c>
      <c r="D11" s="34" t="s">
        <v>129</v>
      </c>
      <c r="E11" s="33">
        <v>123990.59</v>
      </c>
      <c r="F11" s="33">
        <v>1401403.26</v>
      </c>
    </row>
    <row r="12" spans="1:6" ht="12.75">
      <c r="A12" s="21" t="s">
        <v>130</v>
      </c>
      <c r="B12" s="10">
        <v>52694728.7</v>
      </c>
      <c r="C12" s="10">
        <v>51526425.55</v>
      </c>
      <c r="D12" s="34" t="s">
        <v>131</v>
      </c>
      <c r="E12" s="33">
        <v>16513553.43</v>
      </c>
      <c r="F12" s="33">
        <v>7476747.47</v>
      </c>
    </row>
    <row r="13" spans="1:6" ht="27.75">
      <c r="A13" s="34" t="s">
        <v>132</v>
      </c>
      <c r="B13" s="10">
        <v>50290739.5</v>
      </c>
      <c r="C13" s="10">
        <v>58942542.15</v>
      </c>
      <c r="D13" s="32" t="s">
        <v>133</v>
      </c>
      <c r="E13" s="10">
        <v>-3270506.48</v>
      </c>
      <c r="F13" s="10">
        <v>-4413230.24</v>
      </c>
    </row>
    <row r="14" spans="1:6" ht="19.5">
      <c r="A14" s="34" t="s">
        <v>134</v>
      </c>
      <c r="B14" s="10">
        <v>1030755.64</v>
      </c>
      <c r="C14" s="10">
        <v>1521309.03</v>
      </c>
      <c r="D14" s="32" t="s">
        <v>135</v>
      </c>
      <c r="E14" s="10">
        <v>-989472.12</v>
      </c>
      <c r="F14" s="10">
        <v>-2536611.51</v>
      </c>
    </row>
    <row r="15" spans="1:6" ht="19.5">
      <c r="A15" s="34" t="s">
        <v>136</v>
      </c>
      <c r="B15" s="10">
        <v>337551.48</v>
      </c>
      <c r="C15" s="10">
        <v>1042491.66</v>
      </c>
      <c r="D15" s="35" t="s">
        <v>137</v>
      </c>
      <c r="E15" s="10">
        <v>0</v>
      </c>
      <c r="F15" s="10">
        <v>0</v>
      </c>
    </row>
    <row r="16" spans="1:6" ht="19.5">
      <c r="A16" s="34" t="s">
        <v>138</v>
      </c>
      <c r="B16" s="10">
        <v>81635.49</v>
      </c>
      <c r="C16" s="10">
        <v>222781.78</v>
      </c>
      <c r="D16" s="35" t="s">
        <v>139</v>
      </c>
      <c r="E16" s="10">
        <v>-1371883.24</v>
      </c>
      <c r="F16" s="10">
        <v>-14575.91</v>
      </c>
    </row>
    <row r="17" spans="1:6" ht="19.5">
      <c r="A17" s="34" t="s">
        <v>140</v>
      </c>
      <c r="B17" s="10">
        <v>245568.54</v>
      </c>
      <c r="C17" s="10">
        <v>3041294.92</v>
      </c>
      <c r="D17" s="32" t="s">
        <v>141</v>
      </c>
      <c r="E17" s="33">
        <v>0</v>
      </c>
      <c r="F17" s="33">
        <v>0</v>
      </c>
    </row>
    <row r="18" spans="1:6" ht="19.5">
      <c r="A18" s="34" t="s">
        <v>142</v>
      </c>
      <c r="B18" s="10">
        <v>0</v>
      </c>
      <c r="C18" s="10">
        <v>0</v>
      </c>
      <c r="D18" s="32" t="s">
        <v>143</v>
      </c>
      <c r="E18" s="33">
        <v>0</v>
      </c>
      <c r="F18" s="33">
        <v>0</v>
      </c>
    </row>
    <row r="19" spans="1:6" ht="18.75">
      <c r="A19" s="32" t="s">
        <v>41</v>
      </c>
      <c r="B19" s="10">
        <v>0</v>
      </c>
      <c r="C19" s="10">
        <v>95254.46</v>
      </c>
      <c r="D19" s="32" t="s">
        <v>144</v>
      </c>
      <c r="E19" s="33">
        <v>0</v>
      </c>
      <c r="F19" s="33">
        <v>0</v>
      </c>
    </row>
    <row r="20" spans="1:6" ht="18.75">
      <c r="A20" s="32" t="s">
        <v>145</v>
      </c>
      <c r="B20" s="10">
        <v>11695600</v>
      </c>
      <c r="C20" s="10">
        <f>C21+C22+C23</f>
        <v>11705600</v>
      </c>
      <c r="D20" s="32" t="s">
        <v>146</v>
      </c>
      <c r="E20" s="10">
        <v>-150000</v>
      </c>
      <c r="F20" s="10">
        <v>-40.93</v>
      </c>
    </row>
    <row r="21" spans="1:6" ht="12.75">
      <c r="A21" s="34" t="s">
        <v>147</v>
      </c>
      <c r="B21" s="10">
        <v>11695600</v>
      </c>
      <c r="C21" s="10">
        <v>11705600</v>
      </c>
      <c r="D21" s="36" t="s">
        <v>148</v>
      </c>
      <c r="E21" s="31">
        <v>0</v>
      </c>
      <c r="F21" s="31">
        <v>0</v>
      </c>
    </row>
    <row r="22" spans="1:6" ht="19.5">
      <c r="A22" s="34" t="s">
        <v>149</v>
      </c>
      <c r="B22" s="10">
        <v>0</v>
      </c>
      <c r="C22" s="10">
        <v>0</v>
      </c>
      <c r="D22" s="34" t="s">
        <v>150</v>
      </c>
      <c r="E22" s="33">
        <v>0</v>
      </c>
      <c r="F22" s="33">
        <v>0</v>
      </c>
    </row>
    <row r="23" spans="1:6" ht="19.5">
      <c r="A23" s="34" t="s">
        <v>151</v>
      </c>
      <c r="B23" s="10">
        <v>0</v>
      </c>
      <c r="C23" s="10">
        <v>0</v>
      </c>
      <c r="D23" s="34" t="s">
        <v>152</v>
      </c>
      <c r="E23" s="33">
        <v>0</v>
      </c>
      <c r="F23" s="33">
        <v>0</v>
      </c>
    </row>
    <row r="24" spans="1:6" ht="18.75">
      <c r="A24" s="32" t="s">
        <v>153</v>
      </c>
      <c r="B24" s="10">
        <v>0</v>
      </c>
      <c r="C24" s="10">
        <v>0</v>
      </c>
      <c r="D24" s="36" t="s">
        <v>154</v>
      </c>
      <c r="E24" s="31">
        <v>6547748.17</v>
      </c>
      <c r="F24" s="31">
        <v>9836703.16</v>
      </c>
    </row>
    <row r="25" spans="1:6" ht="27.75">
      <c r="A25" s="36" t="s">
        <v>75</v>
      </c>
      <c r="B25" s="14">
        <v>6696404.6</v>
      </c>
      <c r="C25" s="14">
        <f>C26+C31+C37+C41+C42</f>
        <v>11945317.82</v>
      </c>
      <c r="D25" s="36" t="s">
        <v>155</v>
      </c>
      <c r="E25" s="31">
        <v>2717827.25</v>
      </c>
      <c r="F25" s="31">
        <f>F26+F35</f>
        <v>4944968.680000001</v>
      </c>
    </row>
    <row r="26" spans="1:6" ht="18.75">
      <c r="A26" s="32" t="s">
        <v>77</v>
      </c>
      <c r="B26" s="10">
        <v>69175.37</v>
      </c>
      <c r="C26" s="10">
        <f>C27+C28+C29+C30</f>
        <v>1579854.74</v>
      </c>
      <c r="D26" s="32" t="s">
        <v>156</v>
      </c>
      <c r="E26" s="33">
        <v>2259722.56</v>
      </c>
      <c r="F26" s="33">
        <f>F27+F28+F29+F30+F31+F32+F33+F34</f>
        <v>4311624.69</v>
      </c>
    </row>
    <row r="27" spans="1:6" ht="19.5">
      <c r="A27" s="34" t="s">
        <v>157</v>
      </c>
      <c r="B27" s="10">
        <v>40721.04</v>
      </c>
      <c r="C27" s="10">
        <v>47374.25</v>
      </c>
      <c r="D27" s="34" t="s">
        <v>158</v>
      </c>
      <c r="E27" s="33">
        <v>599249.45</v>
      </c>
      <c r="F27" s="33">
        <v>932177</v>
      </c>
    </row>
    <row r="28" spans="1:6" ht="19.5">
      <c r="A28" s="34" t="s">
        <v>159</v>
      </c>
      <c r="B28" s="10">
        <v>0</v>
      </c>
      <c r="C28" s="10">
        <v>0</v>
      </c>
      <c r="D28" s="34" t="s">
        <v>160</v>
      </c>
      <c r="E28" s="33">
        <v>153846.47</v>
      </c>
      <c r="F28" s="33">
        <v>174268.58</v>
      </c>
    </row>
    <row r="29" spans="1:6" ht="19.5">
      <c r="A29" s="34" t="s">
        <v>161</v>
      </c>
      <c r="B29" s="10">
        <v>0</v>
      </c>
      <c r="C29" s="10">
        <v>0</v>
      </c>
      <c r="D29" s="34" t="s">
        <v>162</v>
      </c>
      <c r="E29" s="33">
        <v>582730.27</v>
      </c>
      <c r="F29" s="33">
        <v>958326.57</v>
      </c>
    </row>
    <row r="30" spans="1:6" ht="19.5">
      <c r="A30" s="34" t="s">
        <v>163</v>
      </c>
      <c r="B30" s="10">
        <v>28454.33</v>
      </c>
      <c r="C30" s="10">
        <v>1532480.49</v>
      </c>
      <c r="D30" s="34" t="s">
        <v>164</v>
      </c>
      <c r="E30" s="33">
        <v>544816.7</v>
      </c>
      <c r="F30" s="33">
        <v>715366.32</v>
      </c>
    </row>
    <row r="31" spans="1:6" ht="12.75">
      <c r="A31" s="32" t="s">
        <v>165</v>
      </c>
      <c r="B31" s="10">
        <v>4256943.25</v>
      </c>
      <c r="C31" s="10">
        <f>C32+C33+C34+C35+C36</f>
        <v>6132385.38</v>
      </c>
      <c r="D31" s="34" t="s">
        <v>166</v>
      </c>
      <c r="E31" s="33">
        <v>171529.26</v>
      </c>
      <c r="F31" s="33">
        <v>1265748.48</v>
      </c>
    </row>
    <row r="32" spans="1:6" ht="29.25">
      <c r="A32" s="34" t="s">
        <v>167</v>
      </c>
      <c r="B32" s="10">
        <v>248668.57</v>
      </c>
      <c r="C32" s="10">
        <v>1365971.71</v>
      </c>
      <c r="D32" s="34" t="s">
        <v>168</v>
      </c>
      <c r="E32" s="33">
        <v>196648.59</v>
      </c>
      <c r="F32" s="33">
        <v>224134.13</v>
      </c>
    </row>
    <row r="33" spans="1:6" ht="39">
      <c r="A33" s="34" t="s">
        <v>169</v>
      </c>
      <c r="B33" s="10">
        <v>7171.89</v>
      </c>
      <c r="C33" s="10">
        <v>848888.85</v>
      </c>
      <c r="D33" s="34" t="s">
        <v>170</v>
      </c>
      <c r="E33" s="33">
        <v>0</v>
      </c>
      <c r="F33" s="33">
        <v>17739.79</v>
      </c>
    </row>
    <row r="34" spans="1:6" ht="19.5">
      <c r="A34" s="34" t="s">
        <v>171</v>
      </c>
      <c r="B34" s="10">
        <v>0</v>
      </c>
      <c r="C34" s="10">
        <v>0</v>
      </c>
      <c r="D34" s="34" t="s">
        <v>172</v>
      </c>
      <c r="E34" s="33">
        <v>10901.82</v>
      </c>
      <c r="F34" s="33">
        <v>23863.82</v>
      </c>
    </row>
    <row r="35" spans="1:6" ht="12.75">
      <c r="A35" s="34" t="s">
        <v>173</v>
      </c>
      <c r="B35" s="10">
        <v>4001102.79</v>
      </c>
      <c r="C35" s="10">
        <v>3856370.23</v>
      </c>
      <c r="D35" s="32" t="s">
        <v>174</v>
      </c>
      <c r="E35" s="33">
        <v>458104.69</v>
      </c>
      <c r="F35" s="33">
        <v>633343.99</v>
      </c>
    </row>
    <row r="36" spans="1:6" ht="29.25">
      <c r="A36" s="34" t="s">
        <v>175</v>
      </c>
      <c r="B36" s="10">
        <v>0</v>
      </c>
      <c r="C36" s="10">
        <v>61154.59</v>
      </c>
      <c r="D36" s="34" t="s">
        <v>176</v>
      </c>
      <c r="E36" s="33">
        <v>373877.51</v>
      </c>
      <c r="F36" s="33">
        <v>510313.66</v>
      </c>
    </row>
    <row r="37" spans="1:6" ht="12.75">
      <c r="A37" s="32" t="s">
        <v>177</v>
      </c>
      <c r="B37" s="10">
        <v>2370285.98</v>
      </c>
      <c r="C37" s="10">
        <f>C38+C39+C40</f>
        <v>4219989.34</v>
      </c>
      <c r="D37" s="34" t="s">
        <v>178</v>
      </c>
      <c r="E37" s="33">
        <v>84227.18</v>
      </c>
      <c r="F37" s="33">
        <v>123030.33</v>
      </c>
    </row>
    <row r="38" spans="1:6" ht="18.75">
      <c r="A38" s="34" t="s">
        <v>179</v>
      </c>
      <c r="B38" s="10">
        <v>2466.87</v>
      </c>
      <c r="C38" s="10">
        <v>690347.81</v>
      </c>
      <c r="D38" s="36" t="s">
        <v>180</v>
      </c>
      <c r="E38" s="31">
        <v>0</v>
      </c>
      <c r="F38" s="31">
        <f>F39+F40</f>
        <v>538873.25</v>
      </c>
    </row>
    <row r="39" spans="1:6" ht="27.75">
      <c r="A39" s="34" t="s">
        <v>181</v>
      </c>
      <c r="B39" s="10">
        <v>2361154.8</v>
      </c>
      <c r="C39" s="10">
        <v>3506801.2</v>
      </c>
      <c r="D39" s="32" t="s">
        <v>182</v>
      </c>
      <c r="E39" s="33">
        <v>0</v>
      </c>
      <c r="F39" s="33">
        <v>532678.9</v>
      </c>
    </row>
    <row r="40" spans="1:6" ht="18.75">
      <c r="A40" s="34" t="s">
        <v>183</v>
      </c>
      <c r="B40" s="10">
        <v>6664.31</v>
      </c>
      <c r="C40" s="10">
        <v>22840.33</v>
      </c>
      <c r="D40" s="32" t="s">
        <v>184</v>
      </c>
      <c r="E40" s="33">
        <v>0</v>
      </c>
      <c r="F40" s="33">
        <v>6194.35</v>
      </c>
    </row>
    <row r="41" spans="1:6" ht="18.75">
      <c r="A41" s="32" t="s">
        <v>185</v>
      </c>
      <c r="B41" s="10">
        <v>0</v>
      </c>
      <c r="C41" s="10">
        <v>0</v>
      </c>
      <c r="D41" s="36" t="s">
        <v>186</v>
      </c>
      <c r="E41" s="31">
        <v>575317</v>
      </c>
      <c r="F41" s="31">
        <v>579128</v>
      </c>
    </row>
    <row r="42" spans="1:6" ht="18.75">
      <c r="A42" s="32" t="s">
        <v>187</v>
      </c>
      <c r="B42" s="10">
        <v>0</v>
      </c>
      <c r="C42" s="10">
        <v>13088.36</v>
      </c>
      <c r="D42" s="21"/>
      <c r="E42" s="33"/>
      <c r="F42" s="33"/>
    </row>
    <row r="43" spans="1:6" ht="12.75">
      <c r="A43" s="36" t="s">
        <v>188</v>
      </c>
      <c r="B43" s="14">
        <v>0</v>
      </c>
      <c r="C43" s="14">
        <v>0</v>
      </c>
      <c r="D43" s="21"/>
      <c r="E43" s="33"/>
      <c r="F43" s="33"/>
    </row>
    <row r="44" spans="1:6" ht="12.75">
      <c r="A44" s="36" t="s">
        <v>189</v>
      </c>
      <c r="B44" s="14">
        <v>123106510.3</v>
      </c>
      <c r="C44" s="14">
        <f>C8+C25+C43</f>
        <v>140093495.71999997</v>
      </c>
      <c r="D44" s="30" t="s">
        <v>190</v>
      </c>
      <c r="E44" s="31">
        <v>123106510.3</v>
      </c>
      <c r="F44" s="31">
        <f>F8+F21+F24+F25+F38+F41</f>
        <v>140093495.72</v>
      </c>
    </row>
    <row r="46" spans="1:6" ht="12.75">
      <c r="A46" s="133" t="s">
        <v>114</v>
      </c>
      <c r="B46" s="133"/>
      <c r="C46" s="133"/>
      <c r="D46" s="133"/>
      <c r="E46" s="133"/>
      <c r="F46" s="133"/>
    </row>
    <row r="47" spans="1:6" ht="12.75">
      <c r="A47" s="133" t="s">
        <v>115</v>
      </c>
      <c r="B47" s="133"/>
      <c r="C47" s="133"/>
      <c r="D47" s="133"/>
      <c r="E47" s="133"/>
      <c r="F47" s="133"/>
    </row>
    <row r="48" spans="1:6" ht="12.75">
      <c r="A48" s="25" t="s">
        <v>116</v>
      </c>
      <c r="B48" s="25"/>
      <c r="C48" s="25"/>
      <c r="D48" s="25"/>
      <c r="E48" s="25"/>
      <c r="F48" s="25"/>
    </row>
    <row r="49" spans="1:6" ht="12.75">
      <c r="A49" s="25" t="s">
        <v>246</v>
      </c>
      <c r="B49" s="25"/>
      <c r="C49" s="25"/>
      <c r="D49" s="25"/>
      <c r="E49" s="25"/>
      <c r="F49" s="25"/>
    </row>
    <row r="50" spans="1:6" ht="12.75">
      <c r="A50" s="25" t="s">
        <v>247</v>
      </c>
      <c r="B50" s="25"/>
      <c r="C50" s="25"/>
      <c r="D50" s="25"/>
      <c r="E50" s="25"/>
      <c r="F50" s="25"/>
    </row>
    <row r="53" spans="1:5" ht="12.75">
      <c r="A53" s="26" t="s">
        <v>110</v>
      </c>
      <c r="C53" s="26" t="s">
        <v>111</v>
      </c>
      <c r="E53" s="26" t="s">
        <v>112</v>
      </c>
    </row>
  </sheetData>
  <mergeCells count="11">
    <mergeCell ref="A2:B3"/>
    <mergeCell ref="C2:D2"/>
    <mergeCell ref="E2:F3"/>
    <mergeCell ref="C3:D3"/>
    <mergeCell ref="A46:F46"/>
    <mergeCell ref="A47:F47"/>
    <mergeCell ref="A4:B4"/>
    <mergeCell ref="C4:D4"/>
    <mergeCell ref="E4:F5"/>
    <mergeCell ref="A5:B5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2"/>
  <sheetViews>
    <sheetView zoomScale="120" zoomScaleNormal="120" workbookViewId="0" topLeftCell="A1">
      <selection activeCell="D6" sqref="D6"/>
    </sheetView>
  </sheetViews>
  <sheetFormatPr defaultColWidth="9.140625" defaultRowHeight="12.75"/>
  <cols>
    <col min="1" max="1" width="20.8515625" style="0" customWidth="1"/>
    <col min="2" max="2" width="11.7109375" style="0" customWidth="1"/>
    <col min="3" max="3" width="11.421875" style="0" customWidth="1"/>
    <col min="4" max="4" width="20.57421875" style="0" customWidth="1"/>
    <col min="5" max="5" width="11.140625" style="0" customWidth="1"/>
    <col min="6" max="6" width="11.28125" style="0" customWidth="1"/>
  </cols>
  <sheetData>
    <row r="1" spans="1:13" ht="18" customHeight="1">
      <c r="A1" s="137" t="s">
        <v>200</v>
      </c>
      <c r="B1" s="199"/>
      <c r="C1" s="204"/>
      <c r="D1" s="205"/>
      <c r="E1" s="113" t="s">
        <v>201</v>
      </c>
      <c r="F1" s="206"/>
      <c r="G1" s="213"/>
      <c r="H1" s="213"/>
      <c r="I1" s="212"/>
      <c r="J1" s="212"/>
      <c r="K1" s="213"/>
      <c r="L1" s="213"/>
      <c r="M1" s="38"/>
    </row>
    <row r="2" spans="1:13" ht="15" customHeight="1">
      <c r="A2" s="200"/>
      <c r="B2" s="201"/>
      <c r="C2" s="141" t="s">
        <v>196</v>
      </c>
      <c r="D2" s="142"/>
      <c r="E2" s="207"/>
      <c r="F2" s="208"/>
      <c r="G2" s="213"/>
      <c r="H2" s="213"/>
      <c r="I2" s="212"/>
      <c r="J2" s="212"/>
      <c r="K2" s="213"/>
      <c r="L2" s="213"/>
      <c r="M2" s="38"/>
    </row>
    <row r="3" spans="1:13" ht="12.75">
      <c r="A3" s="200"/>
      <c r="B3" s="201"/>
      <c r="C3" s="141" t="s">
        <v>197</v>
      </c>
      <c r="D3" s="142"/>
      <c r="E3" s="207"/>
      <c r="F3" s="208"/>
      <c r="G3" s="211"/>
      <c r="H3" s="211"/>
      <c r="I3" s="212"/>
      <c r="J3" s="212"/>
      <c r="K3" s="213"/>
      <c r="L3" s="213"/>
      <c r="M3" s="38"/>
    </row>
    <row r="4" spans="1:13" ht="12.75" customHeight="1">
      <c r="A4" s="202"/>
      <c r="B4" s="203"/>
      <c r="C4" s="141" t="s">
        <v>198</v>
      </c>
      <c r="D4" s="142"/>
      <c r="E4" s="209"/>
      <c r="F4" s="210"/>
      <c r="G4" s="214"/>
      <c r="H4" s="214"/>
      <c r="I4" s="215"/>
      <c r="J4" s="215"/>
      <c r="K4" s="213"/>
      <c r="L4" s="213"/>
      <c r="M4" s="38"/>
    </row>
    <row r="5" spans="1:13" ht="12.75">
      <c r="A5" s="126" t="s">
        <v>202</v>
      </c>
      <c r="B5" s="127"/>
      <c r="C5" s="155" t="s">
        <v>199</v>
      </c>
      <c r="D5" s="156"/>
      <c r="E5" s="189" t="s">
        <v>203</v>
      </c>
      <c r="F5" s="190"/>
      <c r="G5" s="37"/>
      <c r="H5" s="37"/>
      <c r="I5" s="37"/>
      <c r="J5" s="37"/>
      <c r="K5" s="37"/>
      <c r="L5" s="37"/>
      <c r="M5" s="38"/>
    </row>
    <row r="6" spans="1:13" ht="12.75">
      <c r="A6" s="153" t="s">
        <v>4</v>
      </c>
      <c r="B6" s="154"/>
      <c r="C6" s="38"/>
      <c r="D6" s="38"/>
      <c r="E6" s="191"/>
      <c r="F6" s="192"/>
      <c r="G6" s="81"/>
      <c r="H6" s="82"/>
      <c r="I6" s="82"/>
      <c r="J6" s="81"/>
      <c r="K6" s="83"/>
      <c r="L6" s="83"/>
      <c r="M6" s="38"/>
    </row>
    <row r="7" spans="1:13" ht="13.5" thickBot="1">
      <c r="A7" s="197"/>
      <c r="B7" s="198"/>
      <c r="C7" s="195" t="s">
        <v>248</v>
      </c>
      <c r="D7" s="196"/>
      <c r="E7" s="193"/>
      <c r="F7" s="194"/>
      <c r="G7" s="84"/>
      <c r="H7" s="85"/>
      <c r="I7" s="85"/>
      <c r="J7" s="84"/>
      <c r="K7" s="86"/>
      <c r="L7" s="86"/>
      <c r="M7" s="38"/>
    </row>
    <row r="8" spans="1:13" ht="13.5" thickTop="1">
      <c r="A8" s="54"/>
      <c r="B8" s="186"/>
      <c r="C8" s="186"/>
      <c r="D8" s="55"/>
      <c r="E8" s="187"/>
      <c r="F8" s="188"/>
      <c r="G8" s="84"/>
      <c r="H8" s="85"/>
      <c r="I8" s="85"/>
      <c r="J8" s="84"/>
      <c r="K8" s="85"/>
      <c r="L8" s="85"/>
      <c r="M8" s="38"/>
    </row>
    <row r="9" spans="1:13" ht="19.5">
      <c r="A9" s="56" t="s">
        <v>204</v>
      </c>
      <c r="B9" s="28" t="s">
        <v>205</v>
      </c>
      <c r="C9" s="28" t="s">
        <v>206</v>
      </c>
      <c r="D9" s="57" t="s">
        <v>207</v>
      </c>
      <c r="E9" s="28" t="s">
        <v>205</v>
      </c>
      <c r="F9" s="28" t="s">
        <v>206</v>
      </c>
      <c r="G9" s="37"/>
      <c r="H9" s="40"/>
      <c r="I9" s="40"/>
      <c r="J9" s="52"/>
      <c r="K9" s="87"/>
      <c r="L9" s="87"/>
      <c r="M9" s="38"/>
    </row>
    <row r="10" spans="1:13" ht="12.75">
      <c r="A10" s="5" t="s">
        <v>11</v>
      </c>
      <c r="B10" s="14">
        <f>B11+B12+B25+B26+B21</f>
        <v>116284938.94</v>
      </c>
      <c r="C10" s="58">
        <f>C11+C21+C25+C26+C12</f>
        <v>119132677.89999999</v>
      </c>
      <c r="D10" s="5" t="s">
        <v>208</v>
      </c>
      <c r="E10" s="14">
        <f>E11+E12+E13+E16+E19+E22+E23+E24+E25+E15</f>
        <v>115561302.87000003</v>
      </c>
      <c r="F10" s="59">
        <f>F11+F12+F13+F16+F19+F22+F23+F24+F25</f>
        <v>115178322.63</v>
      </c>
      <c r="G10" s="37"/>
      <c r="H10" s="40"/>
      <c r="I10" s="40"/>
      <c r="J10" s="52"/>
      <c r="K10" s="87"/>
      <c r="L10" s="87"/>
      <c r="M10" s="38"/>
    </row>
    <row r="11" spans="1:13" ht="18.75">
      <c r="A11" s="36" t="s">
        <v>209</v>
      </c>
      <c r="B11" s="14">
        <f>33526.35+1758</f>
        <v>35284.35</v>
      </c>
      <c r="C11" s="51">
        <v>50478.35</v>
      </c>
      <c r="D11" s="60" t="s">
        <v>127</v>
      </c>
      <c r="E11" s="14">
        <f>135437042.56+777796.32-9015000+12007.34+1641954.08+9015500</f>
        <v>137869300.3</v>
      </c>
      <c r="F11" s="59">
        <v>128203549.52</v>
      </c>
      <c r="G11" s="52"/>
      <c r="H11" s="40"/>
      <c r="I11" s="40"/>
      <c r="J11" s="84"/>
      <c r="K11" s="40"/>
      <c r="L11" s="40"/>
      <c r="M11" s="38"/>
    </row>
    <row r="12" spans="1:13" ht="27.75">
      <c r="A12" s="36" t="s">
        <v>23</v>
      </c>
      <c r="B12" s="14">
        <f>B13+B19+B20</f>
        <v>113569054.59</v>
      </c>
      <c r="C12" s="51">
        <f>C13+C19+C20</f>
        <v>116296845.08999999</v>
      </c>
      <c r="D12" s="60" t="s">
        <v>210</v>
      </c>
      <c r="E12" s="14">
        <v>-3270506.48</v>
      </c>
      <c r="F12" s="59">
        <v>-4413230.24</v>
      </c>
      <c r="G12" s="52"/>
      <c r="H12" s="40"/>
      <c r="I12" s="40"/>
      <c r="J12" s="84"/>
      <c r="K12" s="40"/>
      <c r="L12" s="40"/>
      <c r="M12" s="38"/>
    </row>
    <row r="13" spans="1:13" ht="18.75">
      <c r="A13" s="34" t="s">
        <v>25</v>
      </c>
      <c r="B13" s="10">
        <f>B14+B15+B16+B17+B18</f>
        <v>113292374.26</v>
      </c>
      <c r="C13" s="10">
        <f>C14+C15+C16+C17+C18</f>
        <v>113255550.16999999</v>
      </c>
      <c r="D13" s="60" t="s">
        <v>211</v>
      </c>
      <c r="E13" s="14">
        <v>-989472.12</v>
      </c>
      <c r="F13" s="59">
        <v>-2536611.51</v>
      </c>
      <c r="G13" s="52"/>
      <c r="H13" s="40"/>
      <c r="I13" s="40"/>
      <c r="J13" s="88"/>
      <c r="K13" s="40"/>
      <c r="L13" s="40"/>
      <c r="M13" s="38"/>
    </row>
    <row r="14" spans="1:13" ht="18.75">
      <c r="A14" s="34" t="s">
        <v>130</v>
      </c>
      <c r="B14" s="10">
        <f>52694728.7+499+172800</f>
        <v>52868027.7</v>
      </c>
      <c r="C14" s="10">
        <v>51526425.55</v>
      </c>
      <c r="D14" s="61" t="s">
        <v>212</v>
      </c>
      <c r="E14" s="14">
        <v>0</v>
      </c>
      <c r="F14" s="59">
        <v>0</v>
      </c>
      <c r="G14" s="52"/>
      <c r="H14" s="40"/>
      <c r="I14" s="40"/>
      <c r="J14" s="88"/>
      <c r="K14" s="40"/>
      <c r="L14" s="40"/>
      <c r="M14" s="38"/>
    </row>
    <row r="15" spans="1:13" ht="19.5">
      <c r="A15" s="34" t="s">
        <v>213</v>
      </c>
      <c r="B15" s="10">
        <f>50290739.5+754098.15+6773847.58</f>
        <v>57818685.23</v>
      </c>
      <c r="C15" s="10">
        <v>58942542.15</v>
      </c>
      <c r="D15" s="61" t="s">
        <v>214</v>
      </c>
      <c r="E15" s="14">
        <v>-1371883.24</v>
      </c>
      <c r="F15" s="59">
        <v>-14575.91</v>
      </c>
      <c r="G15" s="52"/>
      <c r="H15" s="40"/>
      <c r="I15" s="40"/>
      <c r="J15" s="84"/>
      <c r="K15" s="87"/>
      <c r="L15" s="87"/>
      <c r="M15" s="38"/>
    </row>
    <row r="16" spans="1:13" ht="19.5">
      <c r="A16" s="34" t="s">
        <v>134</v>
      </c>
      <c r="B16" s="10">
        <f>1030755.64+3800.17+272058.86</f>
        <v>1306614.67</v>
      </c>
      <c r="C16" s="10">
        <v>1521309.03</v>
      </c>
      <c r="D16" s="60" t="s">
        <v>215</v>
      </c>
      <c r="E16" s="14">
        <f>E17-E18</f>
        <v>-16394940.74</v>
      </c>
      <c r="F16" s="59">
        <v>-6075344.21</v>
      </c>
      <c r="G16" s="52"/>
      <c r="H16" s="40"/>
      <c r="I16" s="40"/>
      <c r="J16" s="84"/>
      <c r="K16" s="87"/>
      <c r="L16" s="87"/>
      <c r="M16" s="38"/>
    </row>
    <row r="17" spans="1:13" ht="12.75">
      <c r="A17" s="34" t="s">
        <v>136</v>
      </c>
      <c r="B17" s="10">
        <f>337551.48+852144.73</f>
        <v>1189696.21</v>
      </c>
      <c r="C17" s="10">
        <v>1042491.66</v>
      </c>
      <c r="D17" s="62" t="s">
        <v>216</v>
      </c>
      <c r="E17" s="10">
        <f>123990.59+10528.66</f>
        <v>134519.25</v>
      </c>
      <c r="F17" s="63">
        <v>1401403.26</v>
      </c>
      <c r="G17" s="84"/>
      <c r="H17" s="40"/>
      <c r="I17" s="40"/>
      <c r="J17" s="84"/>
      <c r="K17" s="87"/>
      <c r="L17" s="87"/>
      <c r="M17" s="38"/>
    </row>
    <row r="18" spans="1:13" ht="12.75">
      <c r="A18" s="34" t="s">
        <v>217</v>
      </c>
      <c r="B18" s="10">
        <f>81635.49+13145+14569.96</f>
        <v>109350.45000000001</v>
      </c>
      <c r="C18" s="10">
        <v>222781.78</v>
      </c>
      <c r="D18" s="62" t="s">
        <v>218</v>
      </c>
      <c r="E18" s="10">
        <f>16513553.43+15906.56</f>
        <v>16529459.99</v>
      </c>
      <c r="F18" s="63">
        <v>7476747.47</v>
      </c>
      <c r="G18" s="84"/>
      <c r="H18" s="40"/>
      <c r="I18" s="40"/>
      <c r="J18" s="84"/>
      <c r="K18" s="40"/>
      <c r="L18" s="40"/>
      <c r="M18" s="38"/>
    </row>
    <row r="19" spans="1:13" ht="19.5">
      <c r="A19" s="34" t="s">
        <v>219</v>
      </c>
      <c r="B19" s="10">
        <f>245568.54+31111.79</f>
        <v>276680.33</v>
      </c>
      <c r="C19" s="10">
        <v>3041294.92</v>
      </c>
      <c r="D19" s="64" t="s">
        <v>220</v>
      </c>
      <c r="E19" s="14">
        <f>SUM(E20-E21)</f>
        <v>-131194.85</v>
      </c>
      <c r="F19" s="59">
        <v>0</v>
      </c>
      <c r="G19" s="52"/>
      <c r="H19" s="40"/>
      <c r="I19" s="40"/>
      <c r="J19" s="89"/>
      <c r="K19" s="83"/>
      <c r="L19" s="83"/>
      <c r="M19" s="38"/>
    </row>
    <row r="20" spans="1:13" ht="29.25">
      <c r="A20" s="34" t="s">
        <v>221</v>
      </c>
      <c r="B20" s="10">
        <v>0</v>
      </c>
      <c r="C20" s="10">
        <v>0</v>
      </c>
      <c r="D20" s="62" t="s">
        <v>216</v>
      </c>
      <c r="E20" s="10">
        <v>0</v>
      </c>
      <c r="F20" s="63">
        <v>0</v>
      </c>
      <c r="G20" s="52"/>
      <c r="H20" s="40"/>
      <c r="I20" s="40"/>
      <c r="J20" s="52"/>
      <c r="K20" s="87"/>
      <c r="L20" s="87"/>
      <c r="M20" s="38"/>
    </row>
    <row r="21" spans="1:13" ht="18.75">
      <c r="A21" s="36" t="s">
        <v>222</v>
      </c>
      <c r="B21" s="14">
        <f>B22+B23+B24</f>
        <v>2680600</v>
      </c>
      <c r="C21" s="59">
        <v>2690100</v>
      </c>
      <c r="D21" s="62" t="s">
        <v>218</v>
      </c>
      <c r="E21" s="10">
        <v>131194.85</v>
      </c>
      <c r="F21" s="63">
        <v>0</v>
      </c>
      <c r="G21" s="52"/>
      <c r="H21" s="40"/>
      <c r="I21" s="40"/>
      <c r="J21" s="52"/>
      <c r="K21" s="87"/>
      <c r="L21" s="87"/>
      <c r="M21" s="38"/>
    </row>
    <row r="22" spans="1:13" ht="27.75">
      <c r="A22" s="34" t="s">
        <v>223</v>
      </c>
      <c r="B22" s="10">
        <f>11695600-9015000</f>
        <v>2680600</v>
      </c>
      <c r="C22" s="63">
        <v>2690100</v>
      </c>
      <c r="D22" s="60" t="s">
        <v>224</v>
      </c>
      <c r="E22" s="14">
        <v>0</v>
      </c>
      <c r="F22" s="59">
        <v>0</v>
      </c>
      <c r="G22" s="84"/>
      <c r="H22" s="40"/>
      <c r="I22" s="40"/>
      <c r="J22" s="89"/>
      <c r="K22" s="83"/>
      <c r="L22" s="83"/>
      <c r="M22" s="38"/>
    </row>
    <row r="23" spans="1:13" ht="19.5">
      <c r="A23" s="34" t="s">
        <v>149</v>
      </c>
      <c r="B23" s="10">
        <v>0</v>
      </c>
      <c r="C23" s="63">
        <v>0</v>
      </c>
      <c r="D23" s="61" t="s">
        <v>144</v>
      </c>
      <c r="E23" s="65">
        <v>0</v>
      </c>
      <c r="F23" s="59">
        <v>0</v>
      </c>
      <c r="G23" s="89"/>
      <c r="H23" s="82"/>
      <c r="I23" s="82"/>
      <c r="J23" s="89"/>
      <c r="K23" s="83"/>
      <c r="L23" s="83"/>
      <c r="M23" s="38"/>
    </row>
    <row r="24" spans="1:13" ht="36.75">
      <c r="A24" s="34" t="s">
        <v>225</v>
      </c>
      <c r="B24" s="10">
        <v>0</v>
      </c>
      <c r="C24" s="63">
        <v>0</v>
      </c>
      <c r="D24" s="66" t="s">
        <v>226</v>
      </c>
      <c r="E24" s="65">
        <v>0</v>
      </c>
      <c r="F24" s="59">
        <v>0</v>
      </c>
      <c r="G24" s="90"/>
      <c r="H24" s="91"/>
      <c r="I24" s="91"/>
      <c r="J24" s="84"/>
      <c r="K24" s="87"/>
      <c r="L24" s="87"/>
      <c r="M24" s="38"/>
    </row>
    <row r="25" spans="1:13" ht="18.75">
      <c r="A25" s="36" t="s">
        <v>227</v>
      </c>
      <c r="B25" s="14">
        <v>0</v>
      </c>
      <c r="C25" s="59">
        <v>95254.46</v>
      </c>
      <c r="D25" s="60" t="s">
        <v>228</v>
      </c>
      <c r="E25" s="14">
        <v>-150000</v>
      </c>
      <c r="F25" s="59">
        <v>-40.93</v>
      </c>
      <c r="G25" s="52"/>
      <c r="H25" s="40"/>
      <c r="I25" s="40"/>
      <c r="J25" s="52"/>
      <c r="K25" s="87"/>
      <c r="L25" s="87"/>
      <c r="M25" s="38"/>
    </row>
    <row r="26" spans="1:13" ht="22.5">
      <c r="A26" s="36" t="s">
        <v>153</v>
      </c>
      <c r="B26" s="14">
        <v>0</v>
      </c>
      <c r="C26" s="59">
        <v>0</v>
      </c>
      <c r="D26" s="67" t="s">
        <v>229</v>
      </c>
      <c r="E26" s="14">
        <f>E27+E28</f>
        <v>6547748.17</v>
      </c>
      <c r="F26" s="68">
        <v>9836703.16</v>
      </c>
      <c r="G26" s="52"/>
      <c r="H26" s="40"/>
      <c r="I26" s="40"/>
      <c r="J26" s="52"/>
      <c r="K26" s="87"/>
      <c r="L26" s="87"/>
      <c r="M26" s="38"/>
    </row>
    <row r="27" spans="1:13" ht="18.75">
      <c r="A27" s="69" t="s">
        <v>75</v>
      </c>
      <c r="B27" s="14">
        <f>B28+B29+B30+B31+B32</f>
        <v>10192256.18</v>
      </c>
      <c r="C27" s="59">
        <f>C28+C29+C30+C31+C32</f>
        <v>11879996.34</v>
      </c>
      <c r="D27" s="60" t="s">
        <v>230</v>
      </c>
      <c r="E27" s="14">
        <v>6547748.17</v>
      </c>
      <c r="F27" s="59">
        <v>9836703.16</v>
      </c>
      <c r="G27" s="52"/>
      <c r="H27" s="40"/>
      <c r="I27" s="40"/>
      <c r="J27" s="52"/>
      <c r="K27" s="87"/>
      <c r="L27" s="87"/>
      <c r="M27" s="38"/>
    </row>
    <row r="28" spans="1:13" ht="18.75">
      <c r="A28" s="36" t="s">
        <v>77</v>
      </c>
      <c r="B28" s="14">
        <f>69175.37+17191.97+1327561.36</f>
        <v>1413928.7000000002</v>
      </c>
      <c r="C28" s="59">
        <v>1579854.74</v>
      </c>
      <c r="D28" s="60" t="s">
        <v>231</v>
      </c>
      <c r="E28" s="14">
        <v>0</v>
      </c>
      <c r="F28" s="59">
        <v>0</v>
      </c>
      <c r="G28" s="52"/>
      <c r="H28" s="40"/>
      <c r="I28" s="40"/>
      <c r="J28" s="52"/>
      <c r="K28" s="87"/>
      <c r="L28" s="87"/>
      <c r="M28" s="38"/>
    </row>
    <row r="29" spans="1:13" ht="33.75">
      <c r="A29" s="36" t="s">
        <v>232</v>
      </c>
      <c r="B29" s="14">
        <f>4256943.25+2391.31+1185030.91-49935.33</f>
        <v>5394430.14</v>
      </c>
      <c r="C29" s="59">
        <v>6080152.26</v>
      </c>
      <c r="D29" s="67" t="s">
        <v>233</v>
      </c>
      <c r="E29" s="14">
        <f>E30+E31+E32+E33</f>
        <v>3799558.8899999997</v>
      </c>
      <c r="F29" s="59">
        <f>F30+F31+F32+F33</f>
        <v>4892735.5600000005</v>
      </c>
      <c r="G29" s="90"/>
      <c r="H29" s="40"/>
      <c r="I29" s="40"/>
      <c r="J29" s="52"/>
      <c r="K29" s="87"/>
      <c r="L29" s="87"/>
      <c r="M29" s="38"/>
    </row>
    <row r="30" spans="1:13" ht="18.75">
      <c r="A30" s="36" t="s">
        <v>234</v>
      </c>
      <c r="B30" s="14">
        <f>1029076.32+19472.31+708500.35+1341209.66</f>
        <v>3098258.6399999997</v>
      </c>
      <c r="C30" s="59">
        <v>4219989.34</v>
      </c>
      <c r="D30" s="60" t="s">
        <v>235</v>
      </c>
      <c r="E30" s="14">
        <f>2097379.66+934414.69-49935.33</f>
        <v>2981859.02</v>
      </c>
      <c r="F30" s="59">
        <v>2969779.27</v>
      </c>
      <c r="G30" s="52"/>
      <c r="H30" s="40"/>
      <c r="I30" s="40"/>
      <c r="J30" s="52"/>
      <c r="K30" s="87"/>
      <c r="L30" s="87"/>
      <c r="M30" s="38"/>
    </row>
    <row r="31" spans="1:13" ht="18.75">
      <c r="A31" s="36" t="s">
        <v>236</v>
      </c>
      <c r="B31" s="14">
        <v>0</v>
      </c>
      <c r="C31" s="59">
        <v>0</v>
      </c>
      <c r="D31" s="60" t="s">
        <v>237</v>
      </c>
      <c r="E31" s="14">
        <f>171522.93+365.7+15834.59+6.33</f>
        <v>187729.55</v>
      </c>
      <c r="F31" s="59">
        <v>1265748.48</v>
      </c>
      <c r="G31" s="52"/>
      <c r="H31" s="40"/>
      <c r="I31" s="40"/>
      <c r="J31" s="52"/>
      <c r="K31" s="87"/>
      <c r="L31" s="87"/>
      <c r="M31" s="38"/>
    </row>
    <row r="32" spans="1:13" ht="18.75">
      <c r="A32" s="70" t="s">
        <v>238</v>
      </c>
      <c r="B32" s="14">
        <v>285638.7</v>
      </c>
      <c r="C32" s="59">
        <v>0</v>
      </c>
      <c r="D32" s="60" t="s">
        <v>239</v>
      </c>
      <c r="E32" s="14">
        <f>10901.82+21711</f>
        <v>32612.82</v>
      </c>
      <c r="F32" s="59">
        <v>23863.82</v>
      </c>
      <c r="G32" s="52"/>
      <c r="H32" s="40"/>
      <c r="I32" s="40"/>
      <c r="J32" s="52"/>
      <c r="K32" s="87"/>
      <c r="L32" s="87"/>
      <c r="M32" s="38"/>
    </row>
    <row r="33" spans="1:13" ht="22.5">
      <c r="A33" s="69" t="s">
        <v>240</v>
      </c>
      <c r="B33" s="14">
        <v>14216.97</v>
      </c>
      <c r="C33" s="59">
        <v>13088.36</v>
      </c>
      <c r="D33" s="60" t="s">
        <v>241</v>
      </c>
      <c r="E33" s="14">
        <f>458104.69+1819.05+137433.76</f>
        <v>597357.5</v>
      </c>
      <c r="F33" s="59">
        <v>633343.99</v>
      </c>
      <c r="G33" s="52"/>
      <c r="H33" s="40"/>
      <c r="I33" s="40"/>
      <c r="J33" s="84"/>
      <c r="K33" s="87"/>
      <c r="L33" s="87"/>
      <c r="M33" s="38"/>
    </row>
    <row r="34" spans="1:13" ht="22.5">
      <c r="A34" s="69" t="s">
        <v>242</v>
      </c>
      <c r="B34" s="14">
        <v>0</v>
      </c>
      <c r="C34" s="59">
        <v>0</v>
      </c>
      <c r="D34" s="69" t="s">
        <v>243</v>
      </c>
      <c r="E34" s="14">
        <v>7485.16</v>
      </c>
      <c r="F34" s="59">
        <v>538873.25</v>
      </c>
      <c r="G34" s="52"/>
      <c r="H34" s="40"/>
      <c r="I34" s="40"/>
      <c r="J34" s="52"/>
      <c r="K34" s="87"/>
      <c r="L34" s="87"/>
      <c r="M34" s="38"/>
    </row>
    <row r="35" spans="1:13" ht="12.75">
      <c r="A35" s="69"/>
      <c r="B35" s="6"/>
      <c r="C35" s="63"/>
      <c r="D35" s="69" t="s">
        <v>244</v>
      </c>
      <c r="E35" s="14">
        <v>575317</v>
      </c>
      <c r="F35" s="59">
        <v>579128</v>
      </c>
      <c r="G35" s="90"/>
      <c r="H35" s="91"/>
      <c r="I35" s="91"/>
      <c r="J35" s="52"/>
      <c r="K35" s="87"/>
      <c r="L35" s="87"/>
      <c r="M35" s="38"/>
    </row>
    <row r="36" spans="1:13" ht="12.75">
      <c r="A36" s="71"/>
      <c r="B36" s="71"/>
      <c r="C36" s="63"/>
      <c r="D36" s="72" t="s">
        <v>245</v>
      </c>
      <c r="E36" s="73">
        <v>0</v>
      </c>
      <c r="F36" s="73">
        <v>0</v>
      </c>
      <c r="G36" s="52"/>
      <c r="H36" s="40"/>
      <c r="I36" s="40"/>
      <c r="J36" s="89"/>
      <c r="K36" s="83"/>
      <c r="L36" s="83"/>
      <c r="M36" s="38"/>
    </row>
    <row r="37" spans="1:13" ht="12.75">
      <c r="A37" s="71"/>
      <c r="B37" s="71"/>
      <c r="C37" s="63"/>
      <c r="D37" s="74"/>
      <c r="E37" s="63"/>
      <c r="F37" s="63"/>
      <c r="G37" s="52"/>
      <c r="H37" s="40"/>
      <c r="I37" s="40"/>
      <c r="J37" s="84"/>
      <c r="K37" s="87"/>
      <c r="L37" s="87"/>
      <c r="M37" s="38"/>
    </row>
    <row r="38" spans="1:13" ht="12.75">
      <c r="A38" s="71"/>
      <c r="B38" s="71"/>
      <c r="C38" s="63"/>
      <c r="D38" s="60"/>
      <c r="E38" s="14"/>
      <c r="F38" s="63"/>
      <c r="G38" s="52"/>
      <c r="H38" s="40"/>
      <c r="I38" s="40"/>
      <c r="J38" s="84"/>
      <c r="K38" s="87"/>
      <c r="L38" s="87"/>
      <c r="M38" s="38"/>
    </row>
    <row r="39" spans="1:13" ht="12.75">
      <c r="A39" s="71"/>
      <c r="B39" s="71"/>
      <c r="C39" s="63"/>
      <c r="D39" s="74"/>
      <c r="E39" s="63"/>
      <c r="F39" s="63"/>
      <c r="G39" s="90"/>
      <c r="H39" s="91"/>
      <c r="I39" s="91"/>
      <c r="J39" s="89"/>
      <c r="K39" s="83"/>
      <c r="L39" s="83"/>
      <c r="M39" s="38"/>
    </row>
    <row r="40" spans="1:13" ht="12.75">
      <c r="A40" s="75" t="s">
        <v>189</v>
      </c>
      <c r="B40" s="6">
        <f>B34+B33+B27+B10</f>
        <v>126491412.09</v>
      </c>
      <c r="C40" s="76">
        <f>C34+C33+C27+C10</f>
        <v>131025762.6</v>
      </c>
      <c r="D40" s="77" t="s">
        <v>190</v>
      </c>
      <c r="E40" s="6">
        <f>E35+E34+E29+E26+E10</f>
        <v>126491412.09000003</v>
      </c>
      <c r="F40" s="76">
        <f>F35+F34+F29+F26+F10</f>
        <v>131025762.6</v>
      </c>
      <c r="G40" s="90"/>
      <c r="H40" s="91"/>
      <c r="I40" s="91"/>
      <c r="J40" s="37"/>
      <c r="K40" s="87"/>
      <c r="L40" s="87"/>
      <c r="M40" s="38"/>
    </row>
    <row r="41" spans="1:13" ht="12.75">
      <c r="A41" s="78"/>
      <c r="B41" s="54"/>
      <c r="C41" s="54"/>
      <c r="D41" s="54"/>
      <c r="E41" s="54"/>
      <c r="F41" s="54"/>
      <c r="G41" s="84"/>
      <c r="H41" s="85"/>
      <c r="I41" s="85"/>
      <c r="J41" s="37"/>
      <c r="K41" s="87"/>
      <c r="L41" s="87"/>
      <c r="M41" s="38"/>
    </row>
    <row r="42" spans="1:13" ht="12.75">
      <c r="A42" s="79"/>
      <c r="B42" s="80"/>
      <c r="C42" s="80"/>
      <c r="D42" s="80"/>
      <c r="E42" s="80"/>
      <c r="F42" s="80"/>
      <c r="G42" s="89"/>
      <c r="H42" s="82"/>
      <c r="I42" s="82"/>
      <c r="J42" s="81"/>
      <c r="K42" s="83"/>
      <c r="L42" s="83"/>
      <c r="M42" s="38"/>
    </row>
    <row r="43" spans="1:13" ht="12.75" customHeight="1">
      <c r="A43" s="133" t="s">
        <v>114</v>
      </c>
      <c r="B43" s="133"/>
      <c r="C43" s="133"/>
      <c r="D43" s="133"/>
      <c r="E43" s="133"/>
      <c r="F43" s="133"/>
      <c r="G43" s="38"/>
      <c r="H43" s="38"/>
      <c r="I43" s="38"/>
      <c r="J43" s="38"/>
      <c r="K43" s="38"/>
      <c r="L43" s="38"/>
      <c r="M43" s="38"/>
    </row>
    <row r="44" spans="1:13" ht="12.75" customHeight="1">
      <c r="A44" s="133" t="s">
        <v>115</v>
      </c>
      <c r="B44" s="133"/>
      <c r="C44" s="133"/>
      <c r="D44" s="133"/>
      <c r="E44" s="133"/>
      <c r="F44" s="133"/>
      <c r="G44" s="134"/>
      <c r="H44" s="134"/>
      <c r="I44" s="134"/>
      <c r="J44" s="134"/>
      <c r="K44" s="134"/>
      <c r="L44" s="134"/>
      <c r="M44" s="38"/>
    </row>
    <row r="45" spans="1:12" ht="12.75">
      <c r="A45" s="25" t="s">
        <v>116</v>
      </c>
      <c r="B45" s="25"/>
      <c r="C45" s="25"/>
      <c r="D45" s="25">
        <v>10821.22</v>
      </c>
      <c r="E45" s="25"/>
      <c r="F45" s="25"/>
      <c r="G45" s="133"/>
      <c r="H45" s="133"/>
      <c r="I45" s="133"/>
      <c r="J45" s="133"/>
      <c r="K45" s="133"/>
      <c r="L45" s="133"/>
    </row>
    <row r="46" spans="1:12" ht="12.75">
      <c r="A46" s="25" t="s">
        <v>117</v>
      </c>
      <c r="B46" s="25"/>
      <c r="C46" s="25"/>
      <c r="D46" s="25">
        <v>227774.11</v>
      </c>
      <c r="E46" s="25"/>
      <c r="F46" s="25"/>
      <c r="G46" s="25"/>
      <c r="H46" s="25"/>
      <c r="I46" s="25"/>
      <c r="J46" s="25"/>
      <c r="K46" s="25"/>
      <c r="L46" s="25"/>
    </row>
    <row r="47" spans="1:12" ht="12.75">
      <c r="A47" s="25" t="s">
        <v>118</v>
      </c>
      <c r="B47" s="25"/>
      <c r="C47" s="25"/>
      <c r="D47" s="25">
        <v>26377.74</v>
      </c>
      <c r="E47" s="25"/>
      <c r="F47" s="25"/>
      <c r="G47" s="25"/>
      <c r="H47" s="25"/>
      <c r="I47" s="25"/>
      <c r="J47" s="25"/>
      <c r="K47" s="25"/>
      <c r="L47" s="25"/>
    </row>
    <row r="48" spans="1:12" ht="12.75">
      <c r="A48" s="25" t="s">
        <v>119</v>
      </c>
      <c r="B48" s="25"/>
      <c r="C48" s="25"/>
      <c r="D48" s="25">
        <v>640126.41</v>
      </c>
      <c r="E48" s="25"/>
      <c r="F48" s="25"/>
      <c r="G48" s="25"/>
      <c r="H48" s="25"/>
      <c r="I48" s="25"/>
      <c r="J48" s="25"/>
      <c r="K48" s="25"/>
      <c r="L48" s="25"/>
    </row>
    <row r="49" spans="1:12" ht="12.75">
      <c r="A49" s="25" t="s">
        <v>120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7:12" ht="12.75">
      <c r="G50" s="25"/>
      <c r="H50" s="25"/>
      <c r="I50" s="25"/>
      <c r="J50" s="25"/>
      <c r="K50" s="25"/>
      <c r="L50" s="25"/>
    </row>
    <row r="51" spans="1:5" ht="12.75">
      <c r="A51" s="26" t="s">
        <v>110</v>
      </c>
      <c r="C51" s="26" t="s">
        <v>111</v>
      </c>
      <c r="E51" s="26" t="s">
        <v>112</v>
      </c>
    </row>
    <row r="52" spans="1:5" ht="12.75">
      <c r="A52" s="37"/>
      <c r="B52" s="38"/>
      <c r="C52" s="37"/>
      <c r="D52" s="38"/>
      <c r="E52" s="37"/>
    </row>
  </sheetData>
  <mergeCells count="27">
    <mergeCell ref="G1:H2"/>
    <mergeCell ref="I1:J1"/>
    <mergeCell ref="K1:L2"/>
    <mergeCell ref="I2:J2"/>
    <mergeCell ref="G3:H3"/>
    <mergeCell ref="I3:J3"/>
    <mergeCell ref="K3:L4"/>
    <mergeCell ref="G4:H4"/>
    <mergeCell ref="I4:J4"/>
    <mergeCell ref="G44:L44"/>
    <mergeCell ref="G45:L45"/>
    <mergeCell ref="A1:B4"/>
    <mergeCell ref="C1:D1"/>
    <mergeCell ref="E1:F4"/>
    <mergeCell ref="C2:D2"/>
    <mergeCell ref="C3:D3"/>
    <mergeCell ref="C4:D4"/>
    <mergeCell ref="A5:B5"/>
    <mergeCell ref="C5:D5"/>
    <mergeCell ref="E5:F7"/>
    <mergeCell ref="A6:B6"/>
    <mergeCell ref="C7:D7"/>
    <mergeCell ref="A7:B7"/>
    <mergeCell ref="B8:C8"/>
    <mergeCell ref="E8:F8"/>
    <mergeCell ref="A43:F43"/>
    <mergeCell ref="A44:F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6"/>
  <sheetViews>
    <sheetView zoomScale="120" zoomScaleNormal="120" workbookViewId="0" topLeftCell="A1">
      <selection activeCell="E13" sqref="E13"/>
    </sheetView>
  </sheetViews>
  <sheetFormatPr defaultColWidth="9.140625" defaultRowHeight="12.75"/>
  <cols>
    <col min="1" max="1" width="19.57421875" style="0" customWidth="1"/>
    <col min="2" max="2" width="12.57421875" style="0" customWidth="1"/>
    <col min="3" max="3" width="11.421875" style="0" customWidth="1"/>
    <col min="4" max="4" width="20.57421875" style="0" customWidth="1"/>
    <col min="5" max="5" width="12.00390625" style="0" customWidth="1"/>
    <col min="6" max="6" width="10.8515625" style="0" customWidth="1"/>
  </cols>
  <sheetData>
    <row r="1" ht="12.75" customHeight="1"/>
    <row r="2" spans="1:6" ht="12.75">
      <c r="A2" s="113" t="s">
        <v>0</v>
      </c>
      <c r="B2" s="114"/>
      <c r="C2" s="132" t="s">
        <v>121</v>
      </c>
      <c r="D2" s="118"/>
      <c r="E2" s="113" t="s">
        <v>122</v>
      </c>
      <c r="F2" s="114"/>
    </row>
    <row r="3" spans="1:6" ht="12.75" customHeight="1">
      <c r="A3" s="115"/>
      <c r="B3" s="116"/>
      <c r="C3" s="130" t="s">
        <v>123</v>
      </c>
      <c r="D3" s="120"/>
      <c r="E3" s="115"/>
      <c r="F3" s="116"/>
    </row>
    <row r="4" spans="1:6" ht="12.75">
      <c r="A4" s="126" t="s">
        <v>2</v>
      </c>
      <c r="B4" s="127"/>
      <c r="C4" s="130" t="s">
        <v>191</v>
      </c>
      <c r="D4" s="120"/>
      <c r="E4" s="113" t="s">
        <v>3</v>
      </c>
      <c r="F4" s="114"/>
    </row>
    <row r="5" spans="1:6" ht="12.75">
      <c r="A5" s="131" t="s">
        <v>4</v>
      </c>
      <c r="B5" s="110"/>
      <c r="C5" s="109" t="s">
        <v>192</v>
      </c>
      <c r="D5" s="122"/>
      <c r="E5" s="115"/>
      <c r="F5" s="116"/>
    </row>
    <row r="6" spans="1:6" ht="12.75">
      <c r="A6" s="25"/>
      <c r="B6" s="25"/>
      <c r="C6" s="25"/>
      <c r="D6" s="25"/>
      <c r="E6" s="25"/>
      <c r="F6" s="25"/>
    </row>
    <row r="7" spans="1:6" ht="25.5" customHeight="1">
      <c r="A7" s="27" t="s">
        <v>5</v>
      </c>
      <c r="B7" s="28" t="s">
        <v>124</v>
      </c>
      <c r="C7" s="28" t="s">
        <v>125</v>
      </c>
      <c r="D7" s="29" t="s">
        <v>7</v>
      </c>
      <c r="E7" s="28" t="s">
        <v>124</v>
      </c>
      <c r="F7" s="28" t="s">
        <v>125</v>
      </c>
    </row>
    <row r="8" spans="1:6" ht="12.75">
      <c r="A8" s="30" t="s">
        <v>11</v>
      </c>
      <c r="B8" s="14">
        <f>B9+B10+B19+B20+B24</f>
        <v>1153494.33</v>
      </c>
      <c r="C8" s="14">
        <f>C9+C10+C19+C20+C24</f>
        <v>1781622.38</v>
      </c>
      <c r="D8" s="30" t="s">
        <v>126</v>
      </c>
      <c r="E8" s="31">
        <f>E9+E10+E13+E14+E17+E18+E19+E20</f>
        <v>1147115.92</v>
      </c>
      <c r="F8" s="31">
        <f>F9+F10+F13+F14+F17+F18+F19+F20</f>
        <v>1763880.9200000002</v>
      </c>
    </row>
    <row r="9" spans="1:6" ht="18.75">
      <c r="A9" s="32" t="s">
        <v>13</v>
      </c>
      <c r="B9" s="10">
        <v>0</v>
      </c>
      <c r="C9" s="10">
        <v>0</v>
      </c>
      <c r="D9" s="32" t="s">
        <v>127</v>
      </c>
      <c r="E9" s="33">
        <f>98223.2+562905.38+477478.14</f>
        <v>1138606.72</v>
      </c>
      <c r="F9" s="33">
        <f>368610.7+734899.89+671733.38</f>
        <v>1775243.9700000002</v>
      </c>
    </row>
    <row r="10" spans="1:6" ht="12.75">
      <c r="A10" s="32" t="s">
        <v>23</v>
      </c>
      <c r="B10" s="10">
        <f>B11+B17+B18</f>
        <v>1153494.33</v>
      </c>
      <c r="C10" s="10">
        <f>C11+C17+C18</f>
        <v>1781622.38</v>
      </c>
      <c r="D10" s="32" t="s">
        <v>128</v>
      </c>
      <c r="E10" s="10">
        <f>E11-E12</f>
        <v>8509.199999999999</v>
      </c>
      <c r="F10" s="10">
        <f>F11-F12</f>
        <v>-11363.05</v>
      </c>
    </row>
    <row r="11" spans="1:6" ht="12.75">
      <c r="A11" s="21" t="s">
        <v>25</v>
      </c>
      <c r="B11" s="10">
        <f>B12+B13+B14+B15+B16</f>
        <v>1153494.33</v>
      </c>
      <c r="C11" s="10">
        <f>C12+C13+C14+C15+C16</f>
        <v>1781622.38</v>
      </c>
      <c r="D11" s="34" t="s">
        <v>129</v>
      </c>
      <c r="E11" s="33">
        <f>3354.96+7756.23</f>
        <v>11111.189999999999</v>
      </c>
      <c r="F11" s="33">
        <f>4511.62</f>
        <v>4511.62</v>
      </c>
    </row>
    <row r="12" spans="1:6" ht="12.75">
      <c r="A12" s="21" t="s">
        <v>130</v>
      </c>
      <c r="B12" s="10">
        <v>0</v>
      </c>
      <c r="C12" s="10">
        <f>155050+170850+149100</f>
        <v>475000</v>
      </c>
      <c r="D12" s="34" t="s">
        <v>131</v>
      </c>
      <c r="E12" s="33">
        <v>2601.99</v>
      </c>
      <c r="F12" s="33">
        <f>4358.01+11516.66</f>
        <v>15874.67</v>
      </c>
    </row>
    <row r="13" spans="1:6" ht="27.75">
      <c r="A13" s="34" t="s">
        <v>132</v>
      </c>
      <c r="B13" s="10">
        <f>83340.42+534412.5+455588.84</f>
        <v>1073341.76</v>
      </c>
      <c r="C13" s="10">
        <f>190862+518783.33+503131.15</f>
        <v>1212776.48</v>
      </c>
      <c r="D13" s="32" t="s">
        <v>133</v>
      </c>
      <c r="E13" s="10">
        <v>0</v>
      </c>
      <c r="F13" s="10">
        <v>0</v>
      </c>
    </row>
    <row r="14" spans="1:6" ht="19.5">
      <c r="A14" s="34" t="s">
        <v>134</v>
      </c>
      <c r="B14" s="10">
        <f>7070.75</f>
        <v>7070.75</v>
      </c>
      <c r="C14" s="10">
        <f>6045.96+7651.48</f>
        <v>13697.439999999999</v>
      </c>
      <c r="D14" s="32" t="s">
        <v>135</v>
      </c>
      <c r="E14" s="10">
        <v>0</v>
      </c>
      <c r="F14" s="10">
        <v>0</v>
      </c>
    </row>
    <row r="15" spans="1:6" ht="19.5">
      <c r="A15" s="34" t="s">
        <v>136</v>
      </c>
      <c r="B15" s="10">
        <v>0</v>
      </c>
      <c r="C15" s="10">
        <v>0</v>
      </c>
      <c r="D15" s="35" t="s">
        <v>137</v>
      </c>
      <c r="E15" s="10">
        <v>0</v>
      </c>
      <c r="F15" s="10">
        <v>0</v>
      </c>
    </row>
    <row r="16" spans="1:6" ht="23.25" customHeight="1">
      <c r="A16" s="34" t="s">
        <v>138</v>
      </c>
      <c r="B16" s="10">
        <f>5408.2+62987.61+4686.01</f>
        <v>73081.81999999999</v>
      </c>
      <c r="C16" s="10">
        <f>3823.2+72005.06+4320.2</f>
        <v>80148.45999999999</v>
      </c>
      <c r="D16" s="35" t="s">
        <v>139</v>
      </c>
      <c r="E16" s="10">
        <v>0</v>
      </c>
      <c r="F16" s="10">
        <v>0</v>
      </c>
    </row>
    <row r="17" spans="1:6" ht="19.5">
      <c r="A17" s="34" t="s">
        <v>140</v>
      </c>
      <c r="B17" s="10">
        <v>0</v>
      </c>
      <c r="C17" s="10">
        <v>0</v>
      </c>
      <c r="D17" s="32" t="s">
        <v>141</v>
      </c>
      <c r="E17" s="33">
        <v>0</v>
      </c>
      <c r="F17" s="33">
        <v>0</v>
      </c>
    </row>
    <row r="18" spans="1:6" ht="19.5">
      <c r="A18" s="34" t="s">
        <v>142</v>
      </c>
      <c r="B18" s="10">
        <v>0</v>
      </c>
      <c r="C18" s="10">
        <v>0</v>
      </c>
      <c r="D18" s="32" t="s">
        <v>143</v>
      </c>
      <c r="E18" s="33">
        <v>0</v>
      </c>
      <c r="F18" s="33">
        <v>0</v>
      </c>
    </row>
    <row r="19" spans="1:6" ht="18.75">
      <c r="A19" s="32" t="s">
        <v>41</v>
      </c>
      <c r="B19" s="10">
        <v>0</v>
      </c>
      <c r="C19" s="10">
        <v>0</v>
      </c>
      <c r="D19" s="32" t="s">
        <v>144</v>
      </c>
      <c r="E19" s="33">
        <v>0</v>
      </c>
      <c r="F19" s="33">
        <v>0</v>
      </c>
    </row>
    <row r="20" spans="1:6" ht="18.75">
      <c r="A20" s="32" t="s">
        <v>145</v>
      </c>
      <c r="B20" s="10">
        <f>B21+B22+B23</f>
        <v>0</v>
      </c>
      <c r="C20" s="10">
        <f>C21+C22+C23</f>
        <v>0</v>
      </c>
      <c r="D20" s="32" t="s">
        <v>146</v>
      </c>
      <c r="E20" s="10">
        <v>0</v>
      </c>
      <c r="F20" s="10">
        <v>0</v>
      </c>
    </row>
    <row r="21" spans="1:6" ht="12.75">
      <c r="A21" s="34" t="s">
        <v>147</v>
      </c>
      <c r="B21" s="10">
        <v>0</v>
      </c>
      <c r="C21" s="10">
        <v>0</v>
      </c>
      <c r="D21" s="36" t="s">
        <v>148</v>
      </c>
      <c r="E21" s="31">
        <v>0</v>
      </c>
      <c r="F21" s="31">
        <v>0</v>
      </c>
    </row>
    <row r="22" spans="1:6" ht="19.5">
      <c r="A22" s="34" t="s">
        <v>149</v>
      </c>
      <c r="B22" s="10">
        <v>0</v>
      </c>
      <c r="C22" s="10">
        <v>0</v>
      </c>
      <c r="D22" s="34" t="s">
        <v>150</v>
      </c>
      <c r="E22" s="33">
        <v>0</v>
      </c>
      <c r="F22" s="33">
        <v>0</v>
      </c>
    </row>
    <row r="23" spans="1:6" ht="19.5">
      <c r="A23" s="34" t="s">
        <v>151</v>
      </c>
      <c r="B23" s="10">
        <v>0</v>
      </c>
      <c r="C23" s="10">
        <v>0</v>
      </c>
      <c r="D23" s="34" t="s">
        <v>152</v>
      </c>
      <c r="E23" s="33">
        <v>0</v>
      </c>
      <c r="F23" s="33">
        <v>0</v>
      </c>
    </row>
    <row r="24" spans="1:6" ht="18.75">
      <c r="A24" s="32" t="s">
        <v>153</v>
      </c>
      <c r="B24" s="10">
        <v>0</v>
      </c>
      <c r="C24" s="10">
        <v>0</v>
      </c>
      <c r="D24" s="36" t="s">
        <v>154</v>
      </c>
      <c r="E24" s="31">
        <v>0</v>
      </c>
      <c r="F24" s="31">
        <v>0</v>
      </c>
    </row>
    <row r="25" spans="1:6" ht="27.75">
      <c r="A25" s="36" t="s">
        <v>75</v>
      </c>
      <c r="B25" s="14">
        <f>B26+B31+B37+B41+B42</f>
        <v>131932.55</v>
      </c>
      <c r="C25" s="14">
        <f>C26+C31+C37+C41+C42</f>
        <v>134656.53000000003</v>
      </c>
      <c r="D25" s="36" t="s">
        <v>155</v>
      </c>
      <c r="E25" s="31">
        <f>E26+E35</f>
        <v>138310.96</v>
      </c>
      <c r="F25" s="31">
        <f>F26+F35</f>
        <v>152397.99</v>
      </c>
    </row>
    <row r="26" spans="1:6" ht="18.75">
      <c r="A26" s="49" t="s">
        <v>77</v>
      </c>
      <c r="B26" s="50">
        <f>B27+B28+B29+B30</f>
        <v>27457.42</v>
      </c>
      <c r="C26" s="50">
        <f>C27+C28+C29+C30</f>
        <v>27946.04</v>
      </c>
      <c r="D26" s="32" t="s">
        <v>156</v>
      </c>
      <c r="E26" s="33">
        <f>E27+E28+E29+E30+E31+E32+E33+E34</f>
        <v>121818.77</v>
      </c>
      <c r="F26" s="33">
        <f>F27+F28+F29+F30+F31+F32+F33+F34</f>
        <v>131522.94</v>
      </c>
    </row>
    <row r="27" spans="1:6" ht="19.5" customHeight="1">
      <c r="A27" s="34" t="s">
        <v>157</v>
      </c>
      <c r="B27" s="10">
        <f>19446.16+2326.95</f>
        <v>21773.11</v>
      </c>
      <c r="C27" s="10">
        <f>18341.32+3468.29</f>
        <v>21809.61</v>
      </c>
      <c r="D27" s="34" t="s">
        <v>158</v>
      </c>
      <c r="E27" s="33">
        <f>1468.86+3968.71+96</f>
        <v>5533.57</v>
      </c>
      <c r="F27" s="33">
        <f>1901.48+4904.13+5636.36</f>
        <v>12441.970000000001</v>
      </c>
    </row>
    <row r="28" spans="1:6" ht="20.25" customHeight="1">
      <c r="A28" s="34" t="s">
        <v>159</v>
      </c>
      <c r="B28" s="10">
        <v>0</v>
      </c>
      <c r="C28" s="10">
        <v>0</v>
      </c>
      <c r="D28" s="34" t="s">
        <v>160</v>
      </c>
      <c r="E28" s="33">
        <f>2513+3239</f>
        <v>5752</v>
      </c>
      <c r="F28" s="33">
        <f>2808+3501</f>
        <v>6309</v>
      </c>
    </row>
    <row r="29" spans="1:6" ht="19.5">
      <c r="A29" s="34" t="s">
        <v>161</v>
      </c>
      <c r="B29" s="10">
        <v>0</v>
      </c>
      <c r="C29" s="10">
        <v>0</v>
      </c>
      <c r="D29" s="34" t="s">
        <v>162</v>
      </c>
      <c r="E29" s="33">
        <f>12605.5+6161.57+16272.29</f>
        <v>35039.36</v>
      </c>
      <c r="F29" s="33">
        <f>11379.31+6058.84+14197.08</f>
        <v>31635.230000000003</v>
      </c>
    </row>
    <row r="30" spans="1:6" ht="19.5">
      <c r="A30" s="34" t="s">
        <v>163</v>
      </c>
      <c r="B30" s="10">
        <f>1148.67+2191.23+2344.41</f>
        <v>5684.3099999999995</v>
      </c>
      <c r="C30" s="10">
        <f>1425.84+2231.17+2479.42</f>
        <v>6136.43</v>
      </c>
      <c r="D30" s="34" t="s">
        <v>164</v>
      </c>
      <c r="E30" s="33">
        <f>17795.37+31923.93+22909.8</f>
        <v>72629.1</v>
      </c>
      <c r="F30" s="33">
        <f>19890.31+33907.2+24388.99</f>
        <v>78186.5</v>
      </c>
    </row>
    <row r="31" spans="1:6" ht="18.75">
      <c r="A31" s="49" t="s">
        <v>165</v>
      </c>
      <c r="B31" s="10">
        <f>B32+B33+B34+B35+B36</f>
        <v>23139</v>
      </c>
      <c r="C31" s="10">
        <f>C32+C33+C34+C35+C36</f>
        <v>23221.2</v>
      </c>
      <c r="D31" s="34" t="s">
        <v>166</v>
      </c>
      <c r="E31" s="33">
        <f>2864.74</f>
        <v>2864.74</v>
      </c>
      <c r="F31" s="33">
        <f>1513.4+1436.84</f>
        <v>2950.24</v>
      </c>
    </row>
    <row r="32" spans="1:6" ht="29.25">
      <c r="A32" s="34" t="s">
        <v>167</v>
      </c>
      <c r="B32" s="10">
        <v>0</v>
      </c>
      <c r="C32" s="10">
        <v>0</v>
      </c>
      <c r="D32" s="34" t="s">
        <v>168</v>
      </c>
      <c r="E32" s="33">
        <v>0</v>
      </c>
      <c r="F32" s="33">
        <v>0</v>
      </c>
    </row>
    <row r="33" spans="1:6" ht="29.25">
      <c r="A33" s="34" t="s">
        <v>169</v>
      </c>
      <c r="B33" s="10">
        <v>0</v>
      </c>
      <c r="C33" s="10">
        <v>0</v>
      </c>
      <c r="D33" s="34" t="s">
        <v>170</v>
      </c>
      <c r="E33" s="33">
        <v>0</v>
      </c>
      <c r="F33" s="33">
        <v>0</v>
      </c>
    </row>
    <row r="34" spans="1:6" ht="19.5">
      <c r="A34" s="34" t="s">
        <v>171</v>
      </c>
      <c r="B34" s="10">
        <v>0</v>
      </c>
      <c r="C34" s="10">
        <v>0</v>
      </c>
      <c r="D34" s="34" t="s">
        <v>172</v>
      </c>
      <c r="E34" s="33">
        <v>0</v>
      </c>
      <c r="F34" s="33">
        <v>0</v>
      </c>
    </row>
    <row r="35" spans="1:6" ht="12.75">
      <c r="A35" s="34" t="s">
        <v>173</v>
      </c>
      <c r="B35" s="10">
        <f>9776+7530+5833</f>
        <v>23139</v>
      </c>
      <c r="C35" s="10">
        <f>10910.7+6985+5325.5</f>
        <v>23221.2</v>
      </c>
      <c r="D35" s="32" t="s">
        <v>174</v>
      </c>
      <c r="E35" s="33">
        <f>E36+E37</f>
        <v>16492.19</v>
      </c>
      <c r="F35" s="33">
        <f>F36+F37</f>
        <v>20875.05</v>
      </c>
    </row>
    <row r="36" spans="1:6" ht="39">
      <c r="A36" s="34" t="s">
        <v>175</v>
      </c>
      <c r="B36" s="10">
        <v>0</v>
      </c>
      <c r="C36" s="10">
        <v>0</v>
      </c>
      <c r="D36" s="34" t="s">
        <v>176</v>
      </c>
      <c r="E36" s="33">
        <f>10913.58+560.05+5018.56</f>
        <v>16492.19</v>
      </c>
      <c r="F36" s="33">
        <f>14447.76+1609.16+4818.13</f>
        <v>20875.05</v>
      </c>
    </row>
    <row r="37" spans="1:6" ht="12.75">
      <c r="A37" s="49" t="s">
        <v>177</v>
      </c>
      <c r="B37" s="50">
        <f>B40+B39+B38</f>
        <v>81336.13</v>
      </c>
      <c r="C37" s="50">
        <f>C40+C39+C38</f>
        <v>83489.29000000001</v>
      </c>
      <c r="D37" s="34" t="s">
        <v>178</v>
      </c>
      <c r="E37" s="33">
        <v>0</v>
      </c>
      <c r="F37" s="33">
        <v>0</v>
      </c>
    </row>
    <row r="38" spans="1:6" ht="18.75">
      <c r="A38" s="34" t="s">
        <v>179</v>
      </c>
      <c r="B38" s="10">
        <v>0</v>
      </c>
      <c r="C38" s="10">
        <v>0</v>
      </c>
      <c r="D38" s="36" t="s">
        <v>180</v>
      </c>
      <c r="E38" s="31">
        <v>0</v>
      </c>
      <c r="F38" s="31">
        <f>F39+F40</f>
        <v>0</v>
      </c>
    </row>
    <row r="39" spans="1:6" ht="19.5">
      <c r="A39" s="34" t="s">
        <v>181</v>
      </c>
      <c r="B39" s="10">
        <f>27755.02+6154.53+47426.58</f>
        <v>81336.13</v>
      </c>
      <c r="C39" s="10">
        <f>29733.93+15036.28+38719.08</f>
        <v>83489.29000000001</v>
      </c>
      <c r="D39" s="32" t="s">
        <v>182</v>
      </c>
      <c r="E39" s="33">
        <v>0</v>
      </c>
      <c r="F39" s="33">
        <v>0</v>
      </c>
    </row>
    <row r="40" spans="1:6" ht="18.75">
      <c r="A40" s="34" t="s">
        <v>183</v>
      </c>
      <c r="B40" s="10">
        <v>0</v>
      </c>
      <c r="C40" s="10">
        <v>0</v>
      </c>
      <c r="D40" s="32" t="s">
        <v>184</v>
      </c>
      <c r="E40" s="33">
        <v>0</v>
      </c>
      <c r="F40" s="33">
        <v>0</v>
      </c>
    </row>
    <row r="41" spans="1:6" ht="18.75">
      <c r="A41" s="49" t="s">
        <v>185</v>
      </c>
      <c r="B41" s="50">
        <v>0</v>
      </c>
      <c r="C41" s="50">
        <v>0</v>
      </c>
      <c r="D41" s="36" t="s">
        <v>186</v>
      </c>
      <c r="E41" s="31">
        <v>0</v>
      </c>
      <c r="F41" s="31">
        <v>0</v>
      </c>
    </row>
    <row r="42" spans="1:6" ht="18.75">
      <c r="A42" s="49" t="s">
        <v>187</v>
      </c>
      <c r="B42" s="50">
        <v>0</v>
      </c>
      <c r="C42" s="50">
        <v>0</v>
      </c>
      <c r="D42" s="21"/>
      <c r="E42" s="33"/>
      <c r="F42" s="33"/>
    </row>
    <row r="43" spans="1:6" ht="12.75">
      <c r="A43" s="32" t="s">
        <v>188</v>
      </c>
      <c r="B43" s="51">
        <v>0</v>
      </c>
      <c r="C43" s="51">
        <v>0</v>
      </c>
      <c r="D43" s="21"/>
      <c r="E43" s="33"/>
      <c r="F43" s="33"/>
    </row>
    <row r="44" spans="1:6" ht="12.75">
      <c r="A44" s="36" t="s">
        <v>189</v>
      </c>
      <c r="B44" s="14">
        <f>B8+B25+B43</f>
        <v>1285426.8800000001</v>
      </c>
      <c r="C44" s="14">
        <f>C8+C25+C43</f>
        <v>1916278.91</v>
      </c>
      <c r="D44" s="30" t="s">
        <v>190</v>
      </c>
      <c r="E44" s="31">
        <f>E8+E21+E24+E25+E38+E41</f>
        <v>1285426.88</v>
      </c>
      <c r="F44" s="31">
        <f>F8+F21+F24+F25+F38+F41</f>
        <v>1916278.9100000001</v>
      </c>
    </row>
    <row r="46" spans="1:6" ht="12.75">
      <c r="A46" s="133" t="s">
        <v>114</v>
      </c>
      <c r="B46" s="133"/>
      <c r="C46" s="133"/>
      <c r="D46" s="133"/>
      <c r="E46" s="133"/>
      <c r="F46" s="133"/>
    </row>
    <row r="47" spans="1:6" ht="13.5" customHeight="1">
      <c r="A47" s="133" t="s">
        <v>115</v>
      </c>
      <c r="B47" s="133"/>
      <c r="C47" s="133"/>
      <c r="D47" s="133"/>
      <c r="E47" s="133"/>
      <c r="F47" s="133"/>
    </row>
    <row r="48" spans="1:6" ht="12.75">
      <c r="A48" s="25" t="s">
        <v>116</v>
      </c>
      <c r="B48" s="25"/>
      <c r="C48" s="25"/>
      <c r="D48" s="93">
        <f>3462.86+3974.65</f>
        <v>7437.51</v>
      </c>
      <c r="E48" s="25"/>
      <c r="F48" s="25"/>
    </row>
    <row r="49" spans="1:6" ht="12.75">
      <c r="A49" s="25" t="s">
        <v>117</v>
      </c>
      <c r="B49" s="25"/>
      <c r="C49" s="25"/>
      <c r="D49" s="93">
        <f>62552.69+106636.77+231249.14</f>
        <v>400438.60000000003</v>
      </c>
      <c r="E49" s="25"/>
      <c r="F49" s="25"/>
    </row>
    <row r="50" spans="1:6" ht="12.75">
      <c r="A50" s="25" t="s">
        <v>118</v>
      </c>
      <c r="B50" s="25"/>
      <c r="C50" s="25"/>
      <c r="D50" s="93">
        <f>130032.21+131651.45</f>
        <v>261683.66000000003</v>
      </c>
      <c r="E50" s="25"/>
      <c r="F50" s="25"/>
    </row>
    <row r="51" spans="1:6" ht="12.75">
      <c r="A51" s="25" t="s">
        <v>119</v>
      </c>
      <c r="B51" s="25"/>
      <c r="C51" s="25"/>
      <c r="D51" s="25"/>
      <c r="E51" s="25"/>
      <c r="F51" s="25"/>
    </row>
    <row r="52" spans="1:6" ht="12.75">
      <c r="A52" s="25" t="s">
        <v>120</v>
      </c>
      <c r="B52" s="25"/>
      <c r="C52" s="25"/>
      <c r="D52" s="25"/>
      <c r="E52" s="25"/>
      <c r="F52" s="25"/>
    </row>
    <row r="54" spans="1:5" ht="12" customHeight="1">
      <c r="A54" s="26" t="s">
        <v>110</v>
      </c>
      <c r="C54" s="26" t="s">
        <v>111</v>
      </c>
      <c r="E54" s="26" t="s">
        <v>112</v>
      </c>
    </row>
    <row r="55" ht="15" customHeight="1">
      <c r="F55" s="38"/>
    </row>
    <row r="56" spans="1:6" ht="12.75">
      <c r="A56" s="39"/>
      <c r="B56" s="40"/>
      <c r="C56" s="40"/>
      <c r="D56" s="41"/>
      <c r="E56" s="37"/>
      <c r="F56" s="37"/>
    </row>
    <row r="57" spans="1:6" ht="12.75">
      <c r="A57" s="42"/>
      <c r="B57" s="40"/>
      <c r="C57" s="40"/>
      <c r="D57" s="41"/>
      <c r="E57" s="37"/>
      <c r="F57" s="37"/>
    </row>
    <row r="58" spans="1:6" ht="12.75">
      <c r="A58" s="42"/>
      <c r="B58" s="40"/>
      <c r="C58" s="40"/>
      <c r="D58" s="39"/>
      <c r="E58" s="37"/>
      <c r="F58" s="37"/>
    </row>
    <row r="59" spans="1:6" ht="12.75">
      <c r="A59" s="41"/>
      <c r="B59" s="40"/>
      <c r="C59" s="40"/>
      <c r="D59" s="39"/>
      <c r="E59" s="37"/>
      <c r="F59" s="37"/>
    </row>
    <row r="60" spans="1:6" ht="12.75">
      <c r="A60" s="41"/>
      <c r="B60" s="40"/>
      <c r="C60" s="40"/>
      <c r="D60" s="39"/>
      <c r="E60" s="37"/>
      <c r="F60" s="37"/>
    </row>
    <row r="61" spans="1:6" ht="12.75">
      <c r="A61" s="42"/>
      <c r="B61" s="40"/>
      <c r="C61" s="40"/>
      <c r="D61" s="39"/>
      <c r="E61" s="37"/>
      <c r="F61" s="37"/>
    </row>
    <row r="62" spans="1:6" ht="12.75">
      <c r="A62" s="39"/>
      <c r="B62" s="40"/>
      <c r="C62" s="40"/>
      <c r="D62" s="39"/>
      <c r="E62" s="37"/>
      <c r="F62" s="37"/>
    </row>
    <row r="63" spans="1:6" ht="14.25" customHeight="1">
      <c r="A63" s="42"/>
      <c r="B63" s="40"/>
      <c r="C63" s="40"/>
      <c r="D63" s="39"/>
      <c r="E63" s="37"/>
      <c r="F63" s="37"/>
    </row>
    <row r="64" spans="1:6" ht="15.75" customHeight="1">
      <c r="A64" s="42"/>
      <c r="B64" s="40"/>
      <c r="C64" s="40"/>
      <c r="D64" s="39"/>
      <c r="E64" s="37"/>
      <c r="F64" s="37"/>
    </row>
    <row r="65" spans="1:6" ht="12.75">
      <c r="A65" s="42"/>
      <c r="B65" s="40"/>
      <c r="C65" s="40"/>
      <c r="D65" s="39"/>
      <c r="E65" s="37"/>
      <c r="F65" s="37"/>
    </row>
    <row r="66" spans="1:6" ht="11.25" customHeight="1">
      <c r="A66" s="42"/>
      <c r="B66" s="40"/>
      <c r="C66" s="40"/>
      <c r="D66" s="39"/>
      <c r="E66" s="37"/>
      <c r="F66" s="37"/>
    </row>
    <row r="67" spans="1:6" ht="12.75">
      <c r="A67" s="43"/>
      <c r="B67" s="40"/>
      <c r="C67" s="40"/>
      <c r="D67" s="39"/>
      <c r="E67" s="37"/>
      <c r="F67" s="37"/>
    </row>
    <row r="68" spans="1:6" ht="12.75">
      <c r="A68" s="43"/>
      <c r="B68" s="40"/>
      <c r="C68" s="40"/>
      <c r="D68" s="39"/>
      <c r="E68" s="37"/>
      <c r="F68" s="37"/>
    </row>
    <row r="69" spans="1:6" ht="12.75">
      <c r="A69" s="43"/>
      <c r="B69" s="40"/>
      <c r="C69" s="40"/>
      <c r="D69" s="39"/>
      <c r="E69" s="37"/>
      <c r="F69" s="37"/>
    </row>
    <row r="70" spans="1:6" ht="12.75">
      <c r="A70" s="43"/>
      <c r="B70" s="40"/>
      <c r="C70" s="40"/>
      <c r="D70" s="39"/>
      <c r="E70" s="37"/>
      <c r="F70" s="37"/>
    </row>
    <row r="71" spans="1:6" ht="12" customHeight="1">
      <c r="A71" s="44"/>
      <c r="B71" s="40"/>
      <c r="C71" s="40"/>
      <c r="D71" s="39"/>
      <c r="E71" s="37"/>
      <c r="F71" s="37"/>
    </row>
    <row r="72" spans="1:6" ht="12.75">
      <c r="A72" s="43"/>
      <c r="B72" s="40"/>
      <c r="C72" s="40"/>
      <c r="D72" s="39"/>
      <c r="E72" s="37"/>
      <c r="F72" s="37"/>
    </row>
    <row r="73" spans="1:6" ht="12.75">
      <c r="A73" s="43"/>
      <c r="B73" s="40"/>
      <c r="C73" s="40"/>
      <c r="D73" s="39"/>
      <c r="E73" s="37"/>
      <c r="F73" s="37"/>
    </row>
    <row r="74" spans="1:6" ht="12.75">
      <c r="A74" s="43"/>
      <c r="B74" s="40"/>
      <c r="C74" s="40"/>
      <c r="D74" s="39"/>
      <c r="E74" s="37"/>
      <c r="F74" s="37"/>
    </row>
    <row r="75" spans="1:6" ht="12.75">
      <c r="A75" s="43"/>
      <c r="B75" s="40"/>
      <c r="C75" s="40"/>
      <c r="D75" s="39"/>
      <c r="E75" s="37"/>
      <c r="F75" s="37"/>
    </row>
    <row r="76" spans="1:6" ht="12.75">
      <c r="A76" s="44"/>
      <c r="B76" s="40"/>
      <c r="C76" s="40"/>
      <c r="D76" s="39"/>
      <c r="E76" s="37"/>
      <c r="F76" s="37"/>
    </row>
    <row r="77" spans="1:6" ht="12.75">
      <c r="A77" s="43"/>
      <c r="B77" s="40"/>
      <c r="C77" s="40"/>
      <c r="D77" s="39"/>
      <c r="E77" s="37"/>
      <c r="F77" s="37"/>
    </row>
    <row r="78" spans="1:6" ht="12.75">
      <c r="A78" s="41"/>
      <c r="B78" s="40"/>
      <c r="C78" s="40"/>
      <c r="D78" s="39"/>
      <c r="E78" s="37"/>
      <c r="F78" s="37"/>
    </row>
    <row r="79" spans="1:6" ht="12.75">
      <c r="A79" s="41"/>
      <c r="B79" s="40"/>
      <c r="C79" s="40"/>
      <c r="D79" s="39"/>
      <c r="E79" s="37"/>
      <c r="F79" s="37"/>
    </row>
    <row r="80" spans="1:6" ht="12.75">
      <c r="A80" s="43"/>
      <c r="B80" s="40"/>
      <c r="C80" s="40"/>
      <c r="D80" s="39"/>
      <c r="E80" s="37"/>
      <c r="F80" s="37"/>
    </row>
    <row r="81" spans="1:6" ht="12.75">
      <c r="A81" s="43"/>
      <c r="B81" s="40"/>
      <c r="C81" s="40"/>
      <c r="D81" s="39"/>
      <c r="E81" s="37"/>
      <c r="F81" s="37"/>
    </row>
    <row r="82" spans="1:6" ht="12.75">
      <c r="A82" s="45"/>
      <c r="B82" s="46"/>
      <c r="C82" s="46"/>
      <c r="D82" s="47"/>
      <c r="E82" s="48"/>
      <c r="F82" s="48"/>
    </row>
    <row r="83" spans="1:6" ht="12.75">
      <c r="A83" s="38"/>
      <c r="B83" s="37"/>
      <c r="C83" s="37"/>
      <c r="D83" s="38"/>
      <c r="E83" s="38"/>
      <c r="F83" s="38"/>
    </row>
    <row r="84" spans="1:6" ht="12.75">
      <c r="A84" s="134"/>
      <c r="B84" s="134"/>
      <c r="C84" s="134"/>
      <c r="D84" s="134"/>
      <c r="E84" s="134"/>
      <c r="F84" s="134"/>
    </row>
    <row r="85" spans="1:6" ht="12.75">
      <c r="A85" s="134"/>
      <c r="B85" s="134"/>
      <c r="C85" s="134"/>
      <c r="D85" s="134"/>
      <c r="E85" s="134"/>
      <c r="F85" s="134"/>
    </row>
    <row r="86" spans="1:6" ht="12.75">
      <c r="A86" s="37"/>
      <c r="B86" s="37"/>
      <c r="C86" s="37"/>
      <c r="D86" s="37"/>
      <c r="E86" s="37"/>
      <c r="F86" s="37"/>
    </row>
    <row r="87" spans="1:6" ht="12.75">
      <c r="A87" s="37"/>
      <c r="B87" s="37"/>
      <c r="C87" s="37"/>
      <c r="D87" s="37"/>
      <c r="E87" s="37"/>
      <c r="F87" s="37"/>
    </row>
    <row r="88" spans="1:6" ht="12.75">
      <c r="A88" s="37"/>
      <c r="B88" s="37"/>
      <c r="C88" s="37"/>
      <c r="D88" s="37"/>
      <c r="E88" s="37"/>
      <c r="F88" s="37"/>
    </row>
    <row r="89" spans="1:6" ht="12.75">
      <c r="A89" s="37"/>
      <c r="B89" s="37"/>
      <c r="C89" s="37"/>
      <c r="D89" s="37"/>
      <c r="E89" s="37"/>
      <c r="F89" s="37"/>
    </row>
    <row r="90" spans="1:6" ht="12.75">
      <c r="A90" s="37"/>
      <c r="B90" s="37"/>
      <c r="C90" s="37"/>
      <c r="D90" s="37"/>
      <c r="E90" s="37"/>
      <c r="F90" s="37"/>
    </row>
    <row r="91" spans="1:6" ht="12.75">
      <c r="A91" s="38"/>
      <c r="B91" s="38"/>
      <c r="C91" s="38"/>
      <c r="D91" s="38"/>
      <c r="E91" s="38"/>
      <c r="F91" s="38"/>
    </row>
    <row r="92" spans="1:6" ht="12.75">
      <c r="A92" s="38"/>
      <c r="B92" s="38"/>
      <c r="C92" s="38"/>
      <c r="D92" s="38"/>
      <c r="E92" s="38"/>
      <c r="F92" s="38"/>
    </row>
    <row r="93" spans="1:6" ht="12.75">
      <c r="A93" s="37"/>
      <c r="B93" s="38"/>
      <c r="C93" s="37"/>
      <c r="D93" s="38"/>
      <c r="E93" s="37"/>
      <c r="F93" s="38"/>
    </row>
    <row r="94" spans="1:6" ht="12.75">
      <c r="A94" s="38"/>
      <c r="B94" s="38"/>
      <c r="C94" s="38"/>
      <c r="D94" s="38"/>
      <c r="E94" s="38"/>
      <c r="F94" s="38"/>
    </row>
    <row r="95" spans="1:6" ht="12.75">
      <c r="A95" s="38"/>
      <c r="B95" s="38"/>
      <c r="C95" s="38"/>
      <c r="D95" s="38"/>
      <c r="E95" s="38"/>
      <c r="F95" s="38"/>
    </row>
    <row r="96" spans="1:6" ht="12.75">
      <c r="A96" s="38"/>
      <c r="B96" s="38"/>
      <c r="C96" s="38"/>
      <c r="D96" s="38"/>
      <c r="E96" s="38"/>
      <c r="F96" s="38"/>
    </row>
    <row r="97" spans="1:6" ht="12.75">
      <c r="A97" s="38"/>
      <c r="B97" s="38"/>
      <c r="C97" s="38"/>
      <c r="D97" s="38"/>
      <c r="E97" s="38"/>
      <c r="F97" s="38"/>
    </row>
    <row r="98" spans="1:6" ht="12.75">
      <c r="A98" s="38"/>
      <c r="B98" s="38"/>
      <c r="C98" s="38"/>
      <c r="D98" s="38"/>
      <c r="E98" s="38"/>
      <c r="F98" s="38"/>
    </row>
    <row r="99" spans="1:6" ht="12.75">
      <c r="A99" s="38"/>
      <c r="B99" s="38"/>
      <c r="C99" s="38"/>
      <c r="D99" s="38"/>
      <c r="E99" s="38"/>
      <c r="F99" s="38"/>
    </row>
    <row r="100" spans="1:6" ht="12.75">
      <c r="A100" s="38"/>
      <c r="B100" s="38"/>
      <c r="C100" s="38"/>
      <c r="D100" s="38"/>
      <c r="E100" s="38"/>
      <c r="F100" s="38"/>
    </row>
    <row r="101" spans="1:6" ht="12.75">
      <c r="A101" s="38"/>
      <c r="B101" s="38"/>
      <c r="C101" s="38"/>
      <c r="D101" s="38"/>
      <c r="E101" s="38"/>
      <c r="F101" s="38"/>
    </row>
    <row r="102" spans="1:6" ht="12.75">
      <c r="A102" s="38"/>
      <c r="B102" s="38"/>
      <c r="C102" s="38"/>
      <c r="D102" s="38"/>
      <c r="E102" s="38"/>
      <c r="F102" s="38"/>
    </row>
    <row r="103" spans="1:6" ht="12.75">
      <c r="A103" s="38"/>
      <c r="B103" s="38"/>
      <c r="C103" s="38"/>
      <c r="D103" s="38"/>
      <c r="E103" s="38"/>
      <c r="F103" s="38"/>
    </row>
    <row r="104" spans="1:6" ht="12.75">
      <c r="A104" s="38"/>
      <c r="B104" s="38"/>
      <c r="C104" s="38"/>
      <c r="D104" s="38"/>
      <c r="E104" s="38"/>
      <c r="F104" s="38"/>
    </row>
    <row r="105" spans="1:6" ht="12.75">
      <c r="A105" s="38"/>
      <c r="B105" s="38"/>
      <c r="C105" s="38"/>
      <c r="D105" s="38"/>
      <c r="E105" s="38"/>
      <c r="F105" s="38"/>
    </row>
    <row r="106" spans="1:6" ht="12.75">
      <c r="A106" s="38"/>
      <c r="B106" s="38"/>
      <c r="C106" s="38"/>
      <c r="D106" s="38"/>
      <c r="E106" s="38"/>
      <c r="F106" s="38"/>
    </row>
    <row r="107" spans="1:6" ht="12.75">
      <c r="A107" s="38"/>
      <c r="B107" s="38"/>
      <c r="C107" s="38"/>
      <c r="D107" s="38"/>
      <c r="E107" s="38"/>
      <c r="F107" s="38"/>
    </row>
    <row r="108" spans="1:6" ht="12.75">
      <c r="A108" s="38"/>
      <c r="B108" s="38"/>
      <c r="C108" s="38"/>
      <c r="D108" s="38"/>
      <c r="E108" s="38"/>
      <c r="F108" s="38"/>
    </row>
    <row r="109" spans="1:6" ht="12.75">
      <c r="A109" s="38"/>
      <c r="B109" s="38"/>
      <c r="C109" s="38"/>
      <c r="D109" s="38"/>
      <c r="E109" s="38"/>
      <c r="F109" s="38"/>
    </row>
    <row r="110" spans="1:6" ht="12.75">
      <c r="A110" s="38"/>
      <c r="B110" s="38"/>
      <c r="C110" s="38"/>
      <c r="D110" s="38"/>
      <c r="E110" s="38"/>
      <c r="F110" s="38"/>
    </row>
    <row r="111" spans="1:6" ht="12.75">
      <c r="A111" s="38"/>
      <c r="B111" s="38"/>
      <c r="C111" s="38"/>
      <c r="D111" s="38"/>
      <c r="E111" s="38"/>
      <c r="F111" s="38"/>
    </row>
    <row r="112" spans="1:6" ht="12.75">
      <c r="A112" s="38"/>
      <c r="B112" s="38"/>
      <c r="C112" s="38"/>
      <c r="D112" s="38"/>
      <c r="E112" s="38"/>
      <c r="F112" s="38"/>
    </row>
    <row r="113" spans="1:6" ht="12.75">
      <c r="A113" s="38"/>
      <c r="B113" s="38"/>
      <c r="C113" s="38"/>
      <c r="D113" s="38"/>
      <c r="E113" s="38"/>
      <c r="F113" s="38"/>
    </row>
    <row r="114" spans="1:6" ht="12.75">
      <c r="A114" s="38"/>
      <c r="B114" s="38"/>
      <c r="C114" s="38"/>
      <c r="D114" s="38"/>
      <c r="E114" s="38"/>
      <c r="F114" s="38"/>
    </row>
    <row r="115" spans="1:6" ht="12.75">
      <c r="A115" s="38"/>
      <c r="B115" s="38"/>
      <c r="C115" s="38"/>
      <c r="D115" s="38"/>
      <c r="E115" s="38"/>
      <c r="F115" s="38"/>
    </row>
    <row r="116" spans="1:6" ht="12.75">
      <c r="A116" s="38"/>
      <c r="B116" s="38"/>
      <c r="C116" s="38"/>
      <c r="D116" s="38"/>
      <c r="E116" s="38"/>
      <c r="F116" s="38"/>
    </row>
  </sheetData>
  <mergeCells count="13">
    <mergeCell ref="A46:F46"/>
    <mergeCell ref="A47:F47"/>
    <mergeCell ref="A84:F84"/>
    <mergeCell ref="A85:F85"/>
    <mergeCell ref="A2:B3"/>
    <mergeCell ref="C2:D2"/>
    <mergeCell ref="E2:F3"/>
    <mergeCell ref="C3:D3"/>
    <mergeCell ref="C4:D4"/>
    <mergeCell ref="E4:F5"/>
    <mergeCell ref="A5:B5"/>
    <mergeCell ref="C5:D5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5"/>
  <sheetViews>
    <sheetView zoomScale="120" zoomScaleNormal="120" workbookViewId="0" topLeftCell="A1">
      <selection activeCell="E9" sqref="E9"/>
    </sheetView>
  </sheetViews>
  <sheetFormatPr defaultColWidth="9.140625" defaultRowHeight="12.75"/>
  <cols>
    <col min="1" max="1" width="17.00390625" style="0" customWidth="1"/>
    <col min="2" max="2" width="11.8515625" style="0" customWidth="1"/>
    <col min="3" max="3" width="12.140625" style="0" customWidth="1"/>
    <col min="4" max="4" width="19.57421875" style="0" customWidth="1"/>
    <col min="5" max="5" width="12.57421875" style="0" customWidth="1"/>
    <col min="6" max="6" width="12.421875" style="0" customWidth="1"/>
  </cols>
  <sheetData>
    <row r="2" spans="1:6" ht="12.75">
      <c r="A2" s="113" t="s">
        <v>0</v>
      </c>
      <c r="B2" s="114"/>
      <c r="C2" s="132" t="s">
        <v>121</v>
      </c>
      <c r="D2" s="118"/>
      <c r="E2" s="113" t="s">
        <v>122</v>
      </c>
      <c r="F2" s="114"/>
    </row>
    <row r="3" spans="1:6" ht="12.75">
      <c r="A3" s="115"/>
      <c r="B3" s="116"/>
      <c r="C3" s="130" t="s">
        <v>123</v>
      </c>
      <c r="D3" s="120"/>
      <c r="E3" s="115"/>
      <c r="F3" s="116"/>
    </row>
    <row r="4" spans="1:6" ht="12.75">
      <c r="A4" s="126" t="s">
        <v>2</v>
      </c>
      <c r="B4" s="127"/>
      <c r="C4" s="130" t="s">
        <v>193</v>
      </c>
      <c r="D4" s="120"/>
      <c r="E4" s="113" t="s">
        <v>3</v>
      </c>
      <c r="F4" s="114"/>
    </row>
    <row r="5" spans="1:6" ht="12.75">
      <c r="A5" s="131" t="s">
        <v>4</v>
      </c>
      <c r="B5" s="110"/>
      <c r="C5" s="109" t="s">
        <v>192</v>
      </c>
      <c r="D5" s="122"/>
      <c r="E5" s="115"/>
      <c r="F5" s="116"/>
    </row>
    <row r="6" spans="1:6" ht="12.75">
      <c r="A6" s="25"/>
      <c r="B6" s="25"/>
      <c r="C6" s="25"/>
      <c r="D6" s="25"/>
      <c r="E6" s="25"/>
      <c r="F6" s="25"/>
    </row>
    <row r="7" spans="1:6" ht="19.5">
      <c r="A7" s="27" t="s">
        <v>5</v>
      </c>
      <c r="B7" s="28" t="s">
        <v>124</v>
      </c>
      <c r="C7" s="28" t="s">
        <v>125</v>
      </c>
      <c r="D7" s="29" t="s">
        <v>7</v>
      </c>
      <c r="E7" s="28" t="s">
        <v>124</v>
      </c>
      <c r="F7" s="28" t="s">
        <v>125</v>
      </c>
    </row>
    <row r="8" spans="1:6" ht="12.75">
      <c r="A8" s="30" t="s">
        <v>11</v>
      </c>
      <c r="B8" s="14">
        <f>B9+B10+B19+B20+B24</f>
        <v>7440.1</v>
      </c>
      <c r="C8" s="14">
        <f>C9+C10+C19+C20+C24</f>
        <v>9771.96</v>
      </c>
      <c r="D8" s="30" t="s">
        <v>126</v>
      </c>
      <c r="E8" s="31">
        <f>E9+E10+E13+E14+E17+E18+E19+E20</f>
        <v>19792.049999999996</v>
      </c>
      <c r="F8" s="14">
        <f>F9+F10+F13+F14+F17+F18+F19+F20</f>
        <v>-64586.06000000001</v>
      </c>
    </row>
    <row r="9" spans="1:6" ht="18.75">
      <c r="A9" s="32" t="s">
        <v>13</v>
      </c>
      <c r="B9" s="10">
        <v>3600</v>
      </c>
      <c r="C9" s="10">
        <v>3600</v>
      </c>
      <c r="D9" s="32" t="s">
        <v>127</v>
      </c>
      <c r="E9" s="10">
        <f>-82354.74+39719.54</f>
        <v>-42635.200000000004</v>
      </c>
      <c r="F9" s="10">
        <f>-80233.88+49961.89</f>
        <v>-30271.990000000005</v>
      </c>
    </row>
    <row r="10" spans="1:6" ht="18.75">
      <c r="A10" s="32" t="s">
        <v>23</v>
      </c>
      <c r="B10" s="10">
        <f>B11+B17+B18</f>
        <v>3840.1</v>
      </c>
      <c r="C10" s="10">
        <f>C11+C17+C18</f>
        <v>6171.96</v>
      </c>
      <c r="D10" s="32" t="s">
        <v>128</v>
      </c>
      <c r="E10" s="10">
        <f>E11-E12</f>
        <v>62427.25</v>
      </c>
      <c r="F10" s="10">
        <f>-F12+F11</f>
        <v>-34314.07000000001</v>
      </c>
    </row>
    <row r="11" spans="1:6" ht="12.75">
      <c r="A11" s="21" t="s">
        <v>25</v>
      </c>
      <c r="B11" s="10">
        <f>B12+B13+B14+B15+B16</f>
        <v>3840.1</v>
      </c>
      <c r="C11" s="10">
        <f>C12+C13+C14+C15+C16</f>
        <v>6171.96</v>
      </c>
      <c r="D11" s="34" t="s">
        <v>129</v>
      </c>
      <c r="E11" s="33">
        <f>17577.65+44849.6</f>
        <v>62427.25</v>
      </c>
      <c r="F11" s="33">
        <v>12465.16</v>
      </c>
    </row>
    <row r="12" spans="1:6" ht="12.75">
      <c r="A12" s="21" t="s">
        <v>130</v>
      </c>
      <c r="B12" s="10">
        <v>0</v>
      </c>
      <c r="C12" s="10">
        <v>0</v>
      </c>
      <c r="D12" s="34" t="s">
        <v>131</v>
      </c>
      <c r="E12" s="33">
        <v>0</v>
      </c>
      <c r="F12" s="33">
        <v>46779.23</v>
      </c>
    </row>
    <row r="13" spans="1:6" ht="29.25">
      <c r="A13" s="34" t="s">
        <v>132</v>
      </c>
      <c r="B13" s="10">
        <v>0</v>
      </c>
      <c r="C13" s="10">
        <v>0</v>
      </c>
      <c r="D13" s="32" t="s">
        <v>133</v>
      </c>
      <c r="E13" s="10">
        <v>0</v>
      </c>
      <c r="F13" s="10">
        <v>0</v>
      </c>
    </row>
    <row r="14" spans="1:6" ht="19.5">
      <c r="A14" s="34" t="s">
        <v>134</v>
      </c>
      <c r="B14" s="10">
        <f>3840.1</f>
        <v>3840.1</v>
      </c>
      <c r="C14" s="10">
        <f>2368.6+3803.36</f>
        <v>6171.96</v>
      </c>
      <c r="D14" s="32" t="s">
        <v>135</v>
      </c>
      <c r="E14" s="10">
        <v>0</v>
      </c>
      <c r="F14" s="10">
        <v>0</v>
      </c>
    </row>
    <row r="15" spans="1:6" ht="19.5">
      <c r="A15" s="34" t="s">
        <v>136</v>
      </c>
      <c r="B15" s="10">
        <v>0</v>
      </c>
      <c r="C15" s="10">
        <v>0</v>
      </c>
      <c r="D15" s="35" t="s">
        <v>137</v>
      </c>
      <c r="E15" s="10">
        <v>0</v>
      </c>
      <c r="F15" s="10">
        <v>0</v>
      </c>
    </row>
    <row r="16" spans="1:6" ht="19.5">
      <c r="A16" s="34" t="s">
        <v>138</v>
      </c>
      <c r="B16" s="10">
        <v>0</v>
      </c>
      <c r="C16" s="10">
        <v>0</v>
      </c>
      <c r="D16" s="35" t="s">
        <v>139</v>
      </c>
      <c r="E16" s="10">
        <v>0</v>
      </c>
      <c r="F16" s="10">
        <v>0</v>
      </c>
    </row>
    <row r="17" spans="1:6" ht="19.5">
      <c r="A17" s="34" t="s">
        <v>140</v>
      </c>
      <c r="B17" s="10">
        <v>0</v>
      </c>
      <c r="C17" s="10">
        <v>0</v>
      </c>
      <c r="D17" s="32" t="s">
        <v>141</v>
      </c>
      <c r="E17" s="33">
        <v>0</v>
      </c>
      <c r="F17" s="33">
        <v>0</v>
      </c>
    </row>
    <row r="18" spans="1:6" ht="19.5">
      <c r="A18" s="34" t="s">
        <v>142</v>
      </c>
      <c r="B18" s="10">
        <v>0</v>
      </c>
      <c r="C18" s="10">
        <v>0</v>
      </c>
      <c r="D18" s="32" t="s">
        <v>143</v>
      </c>
      <c r="E18" s="33">
        <v>0</v>
      </c>
      <c r="F18" s="33">
        <v>0</v>
      </c>
    </row>
    <row r="19" spans="1:6" ht="18.75">
      <c r="A19" s="32" t="s">
        <v>41</v>
      </c>
      <c r="B19" s="10">
        <v>0</v>
      </c>
      <c r="C19" s="10">
        <v>0</v>
      </c>
      <c r="D19" s="32" t="s">
        <v>144</v>
      </c>
      <c r="E19" s="33">
        <v>0</v>
      </c>
      <c r="F19" s="33">
        <v>0</v>
      </c>
    </row>
    <row r="20" spans="1:6" ht="18.75">
      <c r="A20" s="32" t="s">
        <v>145</v>
      </c>
      <c r="B20" s="10">
        <f>B21+B22+B23</f>
        <v>0</v>
      </c>
      <c r="C20" s="10">
        <f>C21+C22+C23</f>
        <v>0</v>
      </c>
      <c r="D20" s="32" t="s">
        <v>146</v>
      </c>
      <c r="E20" s="10">
        <v>0</v>
      </c>
      <c r="F20" s="10">
        <v>0</v>
      </c>
    </row>
    <row r="21" spans="1:6" ht="12.75">
      <c r="A21" s="34" t="s">
        <v>147</v>
      </c>
      <c r="B21" s="10">
        <v>0</v>
      </c>
      <c r="C21" s="10">
        <v>0</v>
      </c>
      <c r="D21" s="36" t="s">
        <v>148</v>
      </c>
      <c r="E21" s="31">
        <v>0</v>
      </c>
      <c r="F21" s="31">
        <v>0</v>
      </c>
    </row>
    <row r="22" spans="1:6" ht="19.5">
      <c r="A22" s="34" t="s">
        <v>149</v>
      </c>
      <c r="B22" s="10">
        <v>0</v>
      </c>
      <c r="C22" s="10">
        <v>0</v>
      </c>
      <c r="D22" s="34" t="s">
        <v>150</v>
      </c>
      <c r="E22" s="33">
        <v>0</v>
      </c>
      <c r="F22" s="33">
        <v>0</v>
      </c>
    </row>
    <row r="23" spans="1:6" ht="19.5">
      <c r="A23" s="34" t="s">
        <v>151</v>
      </c>
      <c r="B23" s="10">
        <v>0</v>
      </c>
      <c r="C23" s="10">
        <v>0</v>
      </c>
      <c r="D23" s="34" t="s">
        <v>152</v>
      </c>
      <c r="E23" s="33">
        <v>0</v>
      </c>
      <c r="F23" s="33">
        <v>0</v>
      </c>
    </row>
    <row r="24" spans="1:6" ht="27.75">
      <c r="A24" s="32" t="s">
        <v>153</v>
      </c>
      <c r="B24" s="10">
        <v>0</v>
      </c>
      <c r="C24" s="10">
        <v>0</v>
      </c>
      <c r="D24" s="36" t="s">
        <v>154</v>
      </c>
      <c r="E24" s="31">
        <v>0</v>
      </c>
      <c r="F24" s="31">
        <v>0</v>
      </c>
    </row>
    <row r="25" spans="1:6" ht="27.75">
      <c r="A25" s="36" t="s">
        <v>75</v>
      </c>
      <c r="B25" s="14">
        <f>B26+B31+B37+B41+B42</f>
        <v>234160.53</v>
      </c>
      <c r="C25" s="14">
        <f>C26+C31+C37+C41+C42</f>
        <v>141971.11</v>
      </c>
      <c r="D25" s="36" t="s">
        <v>155</v>
      </c>
      <c r="E25" s="31">
        <f>E26+E35</f>
        <v>221808.58</v>
      </c>
      <c r="F25" s="31">
        <f>F26+F35</f>
        <v>216329.13</v>
      </c>
    </row>
    <row r="26" spans="1:6" ht="18.75">
      <c r="A26" s="49" t="s">
        <v>77</v>
      </c>
      <c r="B26" s="50">
        <f>B27+B28+B29+B30</f>
        <v>0</v>
      </c>
      <c r="C26" s="50">
        <f>C27+C28+C29+C30</f>
        <v>446.4</v>
      </c>
      <c r="D26" s="32" t="s">
        <v>156</v>
      </c>
      <c r="E26" s="33">
        <f>E27+E28+E29+E30+E31+E32+E33+E34</f>
        <v>221494.06999999998</v>
      </c>
      <c r="F26" s="33">
        <f>F27+F28+F29+F30+F31+F32+F33+F34</f>
        <v>203702.27</v>
      </c>
    </row>
    <row r="27" spans="1:6" ht="19.5">
      <c r="A27" s="34" t="s">
        <v>157</v>
      </c>
      <c r="B27" s="10">
        <v>0</v>
      </c>
      <c r="C27" s="10">
        <v>446.4</v>
      </c>
      <c r="D27" s="34" t="s">
        <v>158</v>
      </c>
      <c r="E27" s="33">
        <v>7748.03</v>
      </c>
      <c r="F27" s="33">
        <f>224.93+22851.31</f>
        <v>23076.24</v>
      </c>
    </row>
    <row r="28" spans="1:6" ht="19.5">
      <c r="A28" s="34" t="s">
        <v>159</v>
      </c>
      <c r="B28" s="10">
        <v>0</v>
      </c>
      <c r="C28" s="10">
        <v>0</v>
      </c>
      <c r="D28" s="34" t="s">
        <v>160</v>
      </c>
      <c r="E28" s="33">
        <f>16698+5423</f>
        <v>22121</v>
      </c>
      <c r="F28" s="33">
        <f>16818+5614.22</f>
        <v>22432.22</v>
      </c>
    </row>
    <row r="29" spans="1:6" ht="19.5">
      <c r="A29" s="34" t="s">
        <v>161</v>
      </c>
      <c r="B29" s="10">
        <v>0</v>
      </c>
      <c r="C29" s="10">
        <v>0</v>
      </c>
      <c r="D29" s="34" t="s">
        <v>162</v>
      </c>
      <c r="E29" s="33">
        <f>73036.7+27354.41</f>
        <v>100391.11</v>
      </c>
      <c r="F29" s="33">
        <f>36502.6+22636.5</f>
        <v>59139.1</v>
      </c>
    </row>
    <row r="30" spans="1:6" ht="19.5">
      <c r="A30" s="34" t="s">
        <v>163</v>
      </c>
      <c r="B30" s="10">
        <v>0</v>
      </c>
      <c r="C30" s="10">
        <v>0</v>
      </c>
      <c r="D30" s="34" t="s">
        <v>164</v>
      </c>
      <c r="E30" s="33">
        <f>52028.18+38772.66</f>
        <v>90800.84</v>
      </c>
      <c r="F30" s="33">
        <f>59189.53+39793.18</f>
        <v>98982.70999999999</v>
      </c>
    </row>
    <row r="31" spans="1:6" ht="18.75">
      <c r="A31" s="49" t="s">
        <v>165</v>
      </c>
      <c r="B31" s="10">
        <f>B32+B33+B34+B35+B36</f>
        <v>77.91</v>
      </c>
      <c r="C31" s="10">
        <f>C32+C33+C34+C35+C36</f>
        <v>330</v>
      </c>
      <c r="D31" s="34" t="s">
        <v>166</v>
      </c>
      <c r="E31" s="33">
        <f>433.09</f>
        <v>433.09</v>
      </c>
      <c r="F31" s="33">
        <v>72</v>
      </c>
    </row>
    <row r="32" spans="1:6" ht="29.25">
      <c r="A32" s="34" t="s">
        <v>167</v>
      </c>
      <c r="B32" s="10">
        <v>0</v>
      </c>
      <c r="C32" s="10">
        <f>330</f>
        <v>330</v>
      </c>
      <c r="D32" s="34" t="s">
        <v>168</v>
      </c>
      <c r="E32" s="33">
        <v>0</v>
      </c>
      <c r="F32" s="33">
        <v>0</v>
      </c>
    </row>
    <row r="33" spans="1:6" ht="39">
      <c r="A33" s="34" t="s">
        <v>169</v>
      </c>
      <c r="B33" s="10">
        <v>0</v>
      </c>
      <c r="C33" s="10">
        <v>0</v>
      </c>
      <c r="D33" s="34" t="s">
        <v>170</v>
      </c>
      <c r="E33" s="33">
        <v>0</v>
      </c>
      <c r="F33" s="33">
        <v>0</v>
      </c>
    </row>
    <row r="34" spans="1:6" ht="19.5">
      <c r="A34" s="34" t="s">
        <v>171</v>
      </c>
      <c r="B34" s="10">
        <v>0</v>
      </c>
      <c r="C34" s="10">
        <v>0</v>
      </c>
      <c r="D34" s="34" t="s">
        <v>172</v>
      </c>
      <c r="E34" s="33">
        <v>0</v>
      </c>
      <c r="F34" s="33">
        <v>0</v>
      </c>
    </row>
    <row r="35" spans="1:6" ht="12.75">
      <c r="A35" s="34" t="s">
        <v>173</v>
      </c>
      <c r="B35" s="10">
        <f>77.91</f>
        <v>77.91</v>
      </c>
      <c r="C35" s="10">
        <v>0</v>
      </c>
      <c r="D35" s="32" t="s">
        <v>174</v>
      </c>
      <c r="E35" s="33">
        <f>E36+E37</f>
        <v>314.51</v>
      </c>
      <c r="F35" s="33">
        <f>F36+F37</f>
        <v>12626.86</v>
      </c>
    </row>
    <row r="36" spans="1:6" ht="39">
      <c r="A36" s="34" t="s">
        <v>175</v>
      </c>
      <c r="B36" s="10">
        <v>0</v>
      </c>
      <c r="C36" s="10">
        <v>0</v>
      </c>
      <c r="D36" s="34" t="s">
        <v>176</v>
      </c>
      <c r="E36" s="33">
        <f>314.51</f>
        <v>314.51</v>
      </c>
      <c r="F36" s="33">
        <f>12626.86</f>
        <v>12626.86</v>
      </c>
    </row>
    <row r="37" spans="1:6" ht="12.75">
      <c r="A37" s="49" t="s">
        <v>177</v>
      </c>
      <c r="B37" s="50">
        <f>B40+B39+B38</f>
        <v>234082.62</v>
      </c>
      <c r="C37" s="50">
        <f>C40+C39+C38</f>
        <v>141194.71</v>
      </c>
      <c r="D37" s="34" t="s">
        <v>178</v>
      </c>
      <c r="E37" s="33">
        <v>0</v>
      </c>
      <c r="F37" s="33">
        <v>0</v>
      </c>
    </row>
    <row r="38" spans="1:6" ht="19.5">
      <c r="A38" s="34" t="s">
        <v>179</v>
      </c>
      <c r="B38" s="10">
        <v>0</v>
      </c>
      <c r="C38" s="10">
        <v>0</v>
      </c>
      <c r="D38" s="36" t="s">
        <v>180</v>
      </c>
      <c r="E38" s="31">
        <v>0</v>
      </c>
      <c r="F38" s="31">
        <f>F39+F40</f>
        <v>0</v>
      </c>
    </row>
    <row r="39" spans="1:6" ht="27.75">
      <c r="A39" s="34" t="s">
        <v>181</v>
      </c>
      <c r="B39" s="10">
        <f>73893.29+160189.33</f>
        <v>234082.62</v>
      </c>
      <c r="C39" s="10">
        <f>55224.6+85970.11</f>
        <v>141194.71</v>
      </c>
      <c r="D39" s="32" t="s">
        <v>182</v>
      </c>
      <c r="E39" s="33">
        <v>0</v>
      </c>
      <c r="F39" s="33">
        <v>0</v>
      </c>
    </row>
    <row r="40" spans="1:6" ht="18.75">
      <c r="A40" s="34" t="s">
        <v>183</v>
      </c>
      <c r="B40" s="10">
        <v>0</v>
      </c>
      <c r="C40" s="10">
        <v>0</v>
      </c>
      <c r="D40" s="32" t="s">
        <v>184</v>
      </c>
      <c r="E40" s="33">
        <v>0</v>
      </c>
      <c r="F40" s="33">
        <v>0</v>
      </c>
    </row>
    <row r="41" spans="1:6" ht="18.75">
      <c r="A41" s="49" t="s">
        <v>185</v>
      </c>
      <c r="B41" s="50">
        <v>0</v>
      </c>
      <c r="C41" s="50">
        <v>0</v>
      </c>
      <c r="D41" s="36" t="s">
        <v>186</v>
      </c>
      <c r="E41" s="31">
        <v>0</v>
      </c>
      <c r="F41" s="31">
        <v>0</v>
      </c>
    </row>
    <row r="42" spans="1:6" ht="18.75">
      <c r="A42" s="49" t="s">
        <v>187</v>
      </c>
      <c r="B42" s="50">
        <v>0</v>
      </c>
      <c r="C42" s="50">
        <v>0</v>
      </c>
      <c r="D42" s="21"/>
      <c r="E42" s="33"/>
      <c r="F42" s="33"/>
    </row>
    <row r="43" spans="1:6" ht="12.75">
      <c r="A43" s="32" t="s">
        <v>188</v>
      </c>
      <c r="B43" s="51">
        <v>0</v>
      </c>
      <c r="C43" s="51">
        <v>0</v>
      </c>
      <c r="D43" s="21"/>
      <c r="E43" s="33"/>
      <c r="F43" s="33"/>
    </row>
    <row r="44" spans="1:6" ht="12.75">
      <c r="A44" s="36" t="s">
        <v>189</v>
      </c>
      <c r="B44" s="14">
        <f>B8+B25+B43</f>
        <v>241600.63</v>
      </c>
      <c r="C44" s="14">
        <f>C8+C25+C43</f>
        <v>151743.06999999998</v>
      </c>
      <c r="D44" s="30" t="s">
        <v>190</v>
      </c>
      <c r="E44" s="31">
        <f>E8+E21+E24+E25+E38+E41</f>
        <v>241600.62999999998</v>
      </c>
      <c r="F44" s="31">
        <f>F8+F21+F24+F25+F38+F41</f>
        <v>151743.07</v>
      </c>
    </row>
    <row r="46" spans="1:6" ht="23.25" customHeight="1">
      <c r="A46" s="133" t="s">
        <v>114</v>
      </c>
      <c r="B46" s="133"/>
      <c r="C46" s="133"/>
      <c r="D46" s="133"/>
      <c r="E46" s="133"/>
      <c r="F46" s="133"/>
    </row>
    <row r="47" spans="1:6" ht="12.75">
      <c r="A47" s="133" t="s">
        <v>115</v>
      </c>
      <c r="B47" s="133"/>
      <c r="C47" s="133"/>
      <c r="D47" s="133"/>
      <c r="E47" s="133"/>
      <c r="F47" s="133"/>
    </row>
    <row r="48" spans="1:6" ht="12.75">
      <c r="A48" s="25" t="s">
        <v>116</v>
      </c>
      <c r="B48" s="25"/>
      <c r="C48" s="25"/>
      <c r="D48" s="93">
        <f>9453.28</f>
        <v>9453.28</v>
      </c>
      <c r="E48" s="25"/>
      <c r="F48" s="25"/>
    </row>
    <row r="49" spans="1:6" ht="12.75">
      <c r="A49" s="25" t="s">
        <v>117</v>
      </c>
      <c r="B49" s="25"/>
      <c r="C49" s="25"/>
      <c r="D49" s="93">
        <f>64404.39+55548.66</f>
        <v>119953.05</v>
      </c>
      <c r="E49" s="25"/>
      <c r="F49" s="25"/>
    </row>
    <row r="50" spans="1:6" ht="12.75">
      <c r="A50" s="25" t="s">
        <v>118</v>
      </c>
      <c r="B50" s="25"/>
      <c r="C50" s="25"/>
      <c r="D50" s="93">
        <f>73438.98+82851.67</f>
        <v>156290.65</v>
      </c>
      <c r="E50" s="25"/>
      <c r="F50" s="25"/>
    </row>
    <row r="51" spans="1:6" ht="12.75">
      <c r="A51" s="25" t="s">
        <v>119</v>
      </c>
      <c r="B51" s="25"/>
      <c r="C51" s="25"/>
      <c r="D51" s="25"/>
      <c r="E51" s="25"/>
      <c r="F51" s="25"/>
    </row>
    <row r="52" spans="1:6" ht="12.75">
      <c r="A52" s="25" t="s">
        <v>120</v>
      </c>
      <c r="B52" s="25"/>
      <c r="C52" s="25"/>
      <c r="D52" s="25"/>
      <c r="E52" s="25"/>
      <c r="F52" s="25"/>
    </row>
    <row r="54" spans="1:5" ht="12.75">
      <c r="A54" s="26" t="s">
        <v>110</v>
      </c>
      <c r="C54" s="26" t="s">
        <v>111</v>
      </c>
      <c r="E54" s="26" t="s">
        <v>112</v>
      </c>
    </row>
    <row r="55" ht="12.75">
      <c r="F55" s="38"/>
    </row>
  </sheetData>
  <mergeCells count="11">
    <mergeCell ref="A2:B3"/>
    <mergeCell ref="C2:D2"/>
    <mergeCell ref="E2:F3"/>
    <mergeCell ref="C3:D3"/>
    <mergeCell ref="A46:F46"/>
    <mergeCell ref="A47:F47"/>
    <mergeCell ref="A4:B4"/>
    <mergeCell ref="C4:D4"/>
    <mergeCell ref="E4:F5"/>
    <mergeCell ref="A5:B5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="120" zoomScaleNormal="120" workbookViewId="0" topLeftCell="A31">
      <selection activeCell="H5" sqref="H5"/>
    </sheetView>
  </sheetViews>
  <sheetFormatPr defaultColWidth="9.140625" defaultRowHeight="12.75"/>
  <cols>
    <col min="1" max="1" width="22.57421875" style="0" customWidth="1"/>
    <col min="4" max="4" width="24.00390625" style="0" customWidth="1"/>
  </cols>
  <sheetData>
    <row r="1" spans="1:6" ht="18" customHeight="1">
      <c r="A1" s="113" t="s">
        <v>0</v>
      </c>
      <c r="B1" s="114"/>
      <c r="C1" s="132" t="s">
        <v>121</v>
      </c>
      <c r="D1" s="118"/>
      <c r="E1" s="113" t="s">
        <v>122</v>
      </c>
      <c r="F1" s="114"/>
    </row>
    <row r="2" spans="1:6" ht="13.5" customHeight="1">
      <c r="A2" s="115"/>
      <c r="B2" s="116"/>
      <c r="C2" s="130" t="s">
        <v>123</v>
      </c>
      <c r="D2" s="120"/>
      <c r="E2" s="115"/>
      <c r="F2" s="116"/>
    </row>
    <row r="3" spans="1:6" ht="12.75">
      <c r="A3" s="126" t="s">
        <v>2</v>
      </c>
      <c r="B3" s="127"/>
      <c r="C3" s="135" t="s">
        <v>263</v>
      </c>
      <c r="D3" s="136"/>
      <c r="E3" s="113" t="s">
        <v>3</v>
      </c>
      <c r="F3" s="114"/>
    </row>
    <row r="4" spans="1:6" ht="12.75">
      <c r="A4" s="131" t="s">
        <v>4</v>
      </c>
      <c r="B4" s="110"/>
      <c r="C4" s="109" t="s">
        <v>192</v>
      </c>
      <c r="D4" s="122"/>
      <c r="E4" s="115"/>
      <c r="F4" s="116"/>
    </row>
    <row r="5" spans="1:6" ht="12.75">
      <c r="A5" s="25"/>
      <c r="B5" s="25"/>
      <c r="C5" s="25"/>
      <c r="D5" s="25"/>
      <c r="E5" s="25"/>
      <c r="F5" s="25"/>
    </row>
    <row r="6" spans="1:6" ht="29.25">
      <c r="A6" s="27" t="s">
        <v>5</v>
      </c>
      <c r="B6" s="28" t="s">
        <v>124</v>
      </c>
      <c r="C6" s="28" t="s">
        <v>125</v>
      </c>
      <c r="D6" s="29" t="s">
        <v>7</v>
      </c>
      <c r="E6" s="28" t="s">
        <v>124</v>
      </c>
      <c r="F6" s="28" t="s">
        <v>125</v>
      </c>
    </row>
    <row r="7" spans="1:6" ht="12.75">
      <c r="A7" s="30" t="s">
        <v>11</v>
      </c>
      <c r="B7" s="14">
        <f>B8+B9+B18+B19+B23</f>
        <v>1214128.4600000002</v>
      </c>
      <c r="C7" s="14">
        <f>C8+C9+C18+C19+C23</f>
        <v>1496799.84</v>
      </c>
      <c r="D7" s="30" t="s">
        <v>126</v>
      </c>
      <c r="E7" s="31">
        <f>E8+E9+E12+E13+E16+E17+E18+E19</f>
        <v>1207460.26</v>
      </c>
      <c r="F7" s="31">
        <f>F8+F9+F12+F13+F16+F17+F18+F19</f>
        <v>1516322.9</v>
      </c>
    </row>
    <row r="8" spans="1:6" ht="18.75">
      <c r="A8" s="32" t="s">
        <v>13</v>
      </c>
      <c r="B8" s="10">
        <v>17075.82</v>
      </c>
      <c r="C8" s="10">
        <v>17075.82</v>
      </c>
      <c r="D8" s="32" t="s">
        <v>127</v>
      </c>
      <c r="E8" s="33">
        <v>1199677.92</v>
      </c>
      <c r="F8" s="33">
        <v>1490131.64</v>
      </c>
    </row>
    <row r="9" spans="1:6" ht="12.75">
      <c r="A9" s="32" t="s">
        <v>23</v>
      </c>
      <c r="B9" s="10">
        <f>B10+B16+B17</f>
        <v>1197052.6400000001</v>
      </c>
      <c r="C9" s="10">
        <f>C10+C16+C17</f>
        <v>1479724.02</v>
      </c>
      <c r="D9" s="32" t="s">
        <v>128</v>
      </c>
      <c r="E9" s="10">
        <f>E10-E11</f>
        <v>7782.34</v>
      </c>
      <c r="F9" s="10">
        <f>-F11+F10</f>
        <v>26191.26</v>
      </c>
    </row>
    <row r="10" spans="1:6" ht="12.75">
      <c r="A10" s="21" t="s">
        <v>25</v>
      </c>
      <c r="B10" s="10">
        <f>B11+B12+B13+B14+B15</f>
        <v>1197052.6400000001</v>
      </c>
      <c r="C10" s="10">
        <f>C11+C12+C13+C14+C15</f>
        <v>1479724.02</v>
      </c>
      <c r="D10" s="34" t="s">
        <v>129</v>
      </c>
      <c r="E10" s="33">
        <v>7782.34</v>
      </c>
      <c r="F10" s="33">
        <v>26191.26</v>
      </c>
    </row>
    <row r="11" spans="1:6" ht="12.75">
      <c r="A11" s="21" t="s">
        <v>130</v>
      </c>
      <c r="B11" s="10">
        <v>0</v>
      </c>
      <c r="C11" s="10">
        <v>0</v>
      </c>
      <c r="D11" s="34" t="s">
        <v>131</v>
      </c>
      <c r="E11" s="33">
        <v>0</v>
      </c>
      <c r="F11" s="33">
        <v>0</v>
      </c>
    </row>
    <row r="12" spans="1:6" ht="22.5" customHeight="1">
      <c r="A12" s="34" t="s">
        <v>132</v>
      </c>
      <c r="B12" s="10">
        <v>1110568.37</v>
      </c>
      <c r="C12" s="10">
        <v>1380895.33</v>
      </c>
      <c r="D12" s="32" t="s">
        <v>133</v>
      </c>
      <c r="E12" s="10">
        <v>0</v>
      </c>
      <c r="F12" s="10">
        <v>0</v>
      </c>
    </row>
    <row r="13" spans="1:6" ht="19.5">
      <c r="A13" s="34" t="s">
        <v>134</v>
      </c>
      <c r="B13" s="10">
        <v>86484.27</v>
      </c>
      <c r="C13" s="10">
        <v>98828.69</v>
      </c>
      <c r="D13" s="32" t="s">
        <v>135</v>
      </c>
      <c r="E13" s="10">
        <v>0</v>
      </c>
      <c r="F13" s="10">
        <v>0</v>
      </c>
    </row>
    <row r="14" spans="1:6" ht="19.5">
      <c r="A14" s="34" t="s">
        <v>136</v>
      </c>
      <c r="B14" s="10">
        <v>0</v>
      </c>
      <c r="C14" s="10">
        <v>0</v>
      </c>
      <c r="D14" s="35" t="s">
        <v>137</v>
      </c>
      <c r="E14" s="10">
        <v>0</v>
      </c>
      <c r="F14" s="10">
        <v>0</v>
      </c>
    </row>
    <row r="15" spans="1:6" ht="19.5">
      <c r="A15" s="34" t="s">
        <v>138</v>
      </c>
      <c r="B15" s="10">
        <v>0</v>
      </c>
      <c r="C15" s="10">
        <v>0</v>
      </c>
      <c r="D15" s="35" t="s">
        <v>139</v>
      </c>
      <c r="E15" s="10">
        <v>0</v>
      </c>
      <c r="F15" s="10">
        <v>0</v>
      </c>
    </row>
    <row r="16" spans="1:6" ht="19.5">
      <c r="A16" s="34" t="s">
        <v>140</v>
      </c>
      <c r="B16" s="10">
        <v>0</v>
      </c>
      <c r="C16" s="10">
        <v>0</v>
      </c>
      <c r="D16" s="32" t="s">
        <v>141</v>
      </c>
      <c r="E16" s="33">
        <v>0</v>
      </c>
      <c r="F16" s="33">
        <v>0</v>
      </c>
    </row>
    <row r="17" spans="1:6" ht="19.5">
      <c r="A17" s="34" t="s">
        <v>142</v>
      </c>
      <c r="B17" s="10">
        <v>0</v>
      </c>
      <c r="C17" s="10">
        <v>0</v>
      </c>
      <c r="D17" s="32" t="s">
        <v>143</v>
      </c>
      <c r="E17" s="33">
        <v>0</v>
      </c>
      <c r="F17" s="33">
        <v>0</v>
      </c>
    </row>
    <row r="18" spans="1:6" ht="18.75">
      <c r="A18" s="32" t="s">
        <v>41</v>
      </c>
      <c r="B18" s="10">
        <v>0</v>
      </c>
      <c r="C18" s="10">
        <v>0</v>
      </c>
      <c r="D18" s="32" t="s">
        <v>144</v>
      </c>
      <c r="E18" s="33">
        <v>0</v>
      </c>
      <c r="F18" s="33">
        <v>0</v>
      </c>
    </row>
    <row r="19" spans="1:6" ht="18.75">
      <c r="A19" s="32" t="s">
        <v>145</v>
      </c>
      <c r="B19" s="10">
        <f>B20+B21+B22</f>
        <v>0</v>
      </c>
      <c r="C19" s="10">
        <f>C20+C21+C22</f>
        <v>0</v>
      </c>
      <c r="D19" s="32" t="s">
        <v>146</v>
      </c>
      <c r="E19" s="10">
        <v>0</v>
      </c>
      <c r="F19" s="10">
        <v>0</v>
      </c>
    </row>
    <row r="20" spans="1:6" ht="12.75">
      <c r="A20" s="34" t="s">
        <v>147</v>
      </c>
      <c r="B20" s="10">
        <v>0</v>
      </c>
      <c r="C20" s="10">
        <v>0</v>
      </c>
      <c r="D20" s="36" t="s">
        <v>148</v>
      </c>
      <c r="E20" s="31">
        <v>0</v>
      </c>
      <c r="F20" s="31">
        <v>0</v>
      </c>
    </row>
    <row r="21" spans="1:6" ht="19.5">
      <c r="A21" s="34" t="s">
        <v>149</v>
      </c>
      <c r="B21" s="10">
        <v>0</v>
      </c>
      <c r="C21" s="10">
        <v>0</v>
      </c>
      <c r="D21" s="34" t="s">
        <v>150</v>
      </c>
      <c r="E21" s="33">
        <v>0</v>
      </c>
      <c r="F21" s="33">
        <v>0</v>
      </c>
    </row>
    <row r="22" spans="1:6" ht="19.5">
      <c r="A22" s="34" t="s">
        <v>151</v>
      </c>
      <c r="B22" s="10">
        <v>0</v>
      </c>
      <c r="C22" s="10">
        <v>0</v>
      </c>
      <c r="D22" s="34" t="s">
        <v>152</v>
      </c>
      <c r="E22" s="33">
        <v>0</v>
      </c>
      <c r="F22" s="33">
        <v>0</v>
      </c>
    </row>
    <row r="23" spans="1:6" ht="18.75">
      <c r="A23" s="32" t="s">
        <v>153</v>
      </c>
      <c r="B23" s="10">
        <v>0</v>
      </c>
      <c r="C23" s="10">
        <v>0</v>
      </c>
      <c r="D23" s="36" t="s">
        <v>154</v>
      </c>
      <c r="E23" s="31">
        <v>0</v>
      </c>
      <c r="F23" s="31">
        <v>0</v>
      </c>
    </row>
    <row r="24" spans="1:6" ht="18.75">
      <c r="A24" s="36" t="s">
        <v>75</v>
      </c>
      <c r="B24" s="14">
        <f>B25+B30+B36+B40+B41</f>
        <v>161539.99</v>
      </c>
      <c r="C24" s="14">
        <f>C25+C30+C36+C40+C41</f>
        <v>241878.00999999998</v>
      </c>
      <c r="D24" s="36" t="s">
        <v>155</v>
      </c>
      <c r="E24" s="31">
        <f>E25+E34</f>
        <v>168208.19</v>
      </c>
      <c r="F24" s="31">
        <f>F25+F34</f>
        <v>222354.95</v>
      </c>
    </row>
    <row r="25" spans="1:6" ht="12.75">
      <c r="A25" s="49" t="s">
        <v>77</v>
      </c>
      <c r="B25" s="50">
        <f>B26+B27+B28+B29</f>
        <v>2078.38</v>
      </c>
      <c r="C25" s="50">
        <f>C26+C27+C28+C29</f>
        <v>311.93</v>
      </c>
      <c r="D25" s="32" t="s">
        <v>156</v>
      </c>
      <c r="E25" s="33">
        <f>E26+E27+E28+E29+E30+E31+E32+E33</f>
        <v>108876.07</v>
      </c>
      <c r="F25" s="33">
        <f>F26+F27+F28+F29+F30+F31+F32+F33</f>
        <v>154779.57</v>
      </c>
    </row>
    <row r="26" spans="1:6" ht="19.5">
      <c r="A26" s="34" t="s">
        <v>157</v>
      </c>
      <c r="B26" s="10">
        <v>421.9</v>
      </c>
      <c r="C26" s="10">
        <v>0</v>
      </c>
      <c r="D26" s="34" t="s">
        <v>158</v>
      </c>
      <c r="E26" s="33">
        <v>5321.86</v>
      </c>
      <c r="F26" s="33">
        <v>6018.29</v>
      </c>
    </row>
    <row r="27" spans="1:6" ht="12.75">
      <c r="A27" s="34" t="s">
        <v>159</v>
      </c>
      <c r="B27" s="10">
        <v>0</v>
      </c>
      <c r="C27" s="10">
        <v>0</v>
      </c>
      <c r="D27" s="34" t="s">
        <v>160</v>
      </c>
      <c r="E27" s="33">
        <v>7593</v>
      </c>
      <c r="F27" s="33">
        <v>42615.31</v>
      </c>
    </row>
    <row r="28" spans="1:6" ht="19.5">
      <c r="A28" s="34" t="s">
        <v>161</v>
      </c>
      <c r="B28" s="10">
        <v>0</v>
      </c>
      <c r="C28" s="10">
        <v>0</v>
      </c>
      <c r="D28" s="34" t="s">
        <v>162</v>
      </c>
      <c r="E28" s="33">
        <v>37891.4</v>
      </c>
      <c r="F28" s="33">
        <v>36972.35</v>
      </c>
    </row>
    <row r="29" spans="1:6" ht="19.5">
      <c r="A29" s="34" t="s">
        <v>163</v>
      </c>
      <c r="B29" s="10">
        <v>1656.48</v>
      </c>
      <c r="C29" s="10">
        <v>311.93</v>
      </c>
      <c r="D29" s="34" t="s">
        <v>164</v>
      </c>
      <c r="E29" s="33">
        <v>537.2</v>
      </c>
      <c r="F29" s="33">
        <v>0</v>
      </c>
    </row>
    <row r="30" spans="1:6" ht="12.75">
      <c r="A30" s="49" t="s">
        <v>165</v>
      </c>
      <c r="B30" s="10">
        <f>B31+B32+B33+B34+B35</f>
        <v>47909.69</v>
      </c>
      <c r="C30" s="10">
        <f>C31+C32+C33+C34+C35</f>
        <v>62888.84</v>
      </c>
      <c r="D30" s="34" t="s">
        <v>166</v>
      </c>
      <c r="E30" s="33">
        <v>57532.61</v>
      </c>
      <c r="F30" s="33">
        <v>69173.62</v>
      </c>
    </row>
    <row r="31" spans="1:6" ht="19.5">
      <c r="A31" s="34" t="s">
        <v>167</v>
      </c>
      <c r="B31" s="10">
        <v>120</v>
      </c>
      <c r="C31" s="10">
        <v>1005.45</v>
      </c>
      <c r="D31" s="34" t="s">
        <v>168</v>
      </c>
      <c r="E31" s="33">
        <v>0</v>
      </c>
      <c r="F31" s="33">
        <v>0</v>
      </c>
    </row>
    <row r="32" spans="1:6" ht="29.25">
      <c r="A32" s="34" t="s">
        <v>169</v>
      </c>
      <c r="B32" s="10">
        <v>0</v>
      </c>
      <c r="C32" s="10">
        <v>0</v>
      </c>
      <c r="D32" s="34" t="s">
        <v>170</v>
      </c>
      <c r="E32" s="33">
        <v>0</v>
      </c>
      <c r="F32" s="33">
        <v>0</v>
      </c>
    </row>
    <row r="33" spans="1:6" ht="19.5">
      <c r="A33" s="34" t="s">
        <v>171</v>
      </c>
      <c r="B33" s="10">
        <v>0</v>
      </c>
      <c r="C33" s="10">
        <v>0</v>
      </c>
      <c r="D33" s="34" t="s">
        <v>172</v>
      </c>
      <c r="E33" s="33">
        <v>0</v>
      </c>
      <c r="F33" s="33">
        <v>0</v>
      </c>
    </row>
    <row r="34" spans="1:6" ht="12.75">
      <c r="A34" s="34" t="s">
        <v>173</v>
      </c>
      <c r="B34" s="10">
        <v>47789.69</v>
      </c>
      <c r="C34" s="10">
        <v>61883.39</v>
      </c>
      <c r="D34" s="32" t="s">
        <v>174</v>
      </c>
      <c r="E34" s="33">
        <f>E35+E36</f>
        <v>59332.12</v>
      </c>
      <c r="F34" s="33">
        <f>F35+F36</f>
        <v>67575.38</v>
      </c>
    </row>
    <row r="35" spans="1:6" ht="29.25">
      <c r="A35" s="34" t="s">
        <v>175</v>
      </c>
      <c r="B35" s="10">
        <v>0</v>
      </c>
      <c r="C35" s="10">
        <v>0</v>
      </c>
      <c r="D35" s="34" t="s">
        <v>176</v>
      </c>
      <c r="E35" s="33">
        <v>59332.12</v>
      </c>
      <c r="F35" s="33">
        <v>67575.38</v>
      </c>
    </row>
    <row r="36" spans="1:6" ht="12.75">
      <c r="A36" s="49" t="s">
        <v>177</v>
      </c>
      <c r="B36" s="50">
        <f>B39+B38+B37</f>
        <v>111551.92</v>
      </c>
      <c r="C36" s="50">
        <f>C39+C38+C37</f>
        <v>178677.24</v>
      </c>
      <c r="D36" s="34" t="s">
        <v>178</v>
      </c>
      <c r="E36" s="33">
        <v>0</v>
      </c>
      <c r="F36" s="33">
        <v>0</v>
      </c>
    </row>
    <row r="37" spans="1:6" ht="12.75">
      <c r="A37" s="34" t="s">
        <v>179</v>
      </c>
      <c r="B37" s="10">
        <v>0</v>
      </c>
      <c r="C37" s="10">
        <v>0</v>
      </c>
      <c r="D37" s="36" t="s">
        <v>180</v>
      </c>
      <c r="E37" s="31">
        <v>0</v>
      </c>
      <c r="F37" s="31">
        <f>F38+F39</f>
        <v>0</v>
      </c>
    </row>
    <row r="38" spans="1:6" ht="19.5">
      <c r="A38" s="34" t="s">
        <v>181</v>
      </c>
      <c r="B38" s="10">
        <v>111551.92</v>
      </c>
      <c r="C38" s="10">
        <v>178677.24</v>
      </c>
      <c r="D38" s="32" t="s">
        <v>182</v>
      </c>
      <c r="E38" s="33">
        <v>0</v>
      </c>
      <c r="F38" s="33">
        <v>0</v>
      </c>
    </row>
    <row r="39" spans="1:6" ht="18.75">
      <c r="A39" s="34" t="s">
        <v>183</v>
      </c>
      <c r="B39" s="10">
        <v>0</v>
      </c>
      <c r="C39" s="10">
        <v>0</v>
      </c>
      <c r="D39" s="32" t="s">
        <v>184</v>
      </c>
      <c r="E39" s="33">
        <v>0</v>
      </c>
      <c r="F39" s="33">
        <v>0</v>
      </c>
    </row>
    <row r="40" spans="1:6" ht="18.75">
      <c r="A40" s="49" t="s">
        <v>185</v>
      </c>
      <c r="B40" s="50">
        <v>0</v>
      </c>
      <c r="C40" s="50">
        <v>0</v>
      </c>
      <c r="D40" s="36" t="s">
        <v>186</v>
      </c>
      <c r="E40" s="31">
        <v>0</v>
      </c>
      <c r="F40" s="31">
        <v>0</v>
      </c>
    </row>
    <row r="41" spans="1:6" ht="12.75">
      <c r="A41" s="49" t="s">
        <v>187</v>
      </c>
      <c r="B41" s="50">
        <v>0</v>
      </c>
      <c r="C41" s="50">
        <v>0</v>
      </c>
      <c r="D41" s="21"/>
      <c r="E41" s="33"/>
      <c r="F41" s="33"/>
    </row>
    <row r="42" spans="1:6" ht="12.75">
      <c r="A42" s="32" t="s">
        <v>188</v>
      </c>
      <c r="B42" s="51">
        <v>0</v>
      </c>
      <c r="C42" s="51">
        <v>0</v>
      </c>
      <c r="D42" s="21"/>
      <c r="E42" s="33"/>
      <c r="F42" s="33"/>
    </row>
    <row r="43" spans="1:6" ht="12.75">
      <c r="A43" s="36" t="s">
        <v>189</v>
      </c>
      <c r="B43" s="14">
        <f>B7+B24+B42</f>
        <v>1375668.4500000002</v>
      </c>
      <c r="C43" s="14">
        <f>C7+C24+C42</f>
        <v>1738677.85</v>
      </c>
      <c r="D43" s="30" t="s">
        <v>190</v>
      </c>
      <c r="E43" s="31">
        <f>E7+E20+E23+E24+E37+E40</f>
        <v>1375668.45</v>
      </c>
      <c r="F43" s="31">
        <f>F7+F20+F23+F24+F37+F40</f>
        <v>1738677.8499999999</v>
      </c>
    </row>
    <row r="44" ht="14.25" customHeight="1"/>
    <row r="45" spans="1:6" ht="20.25" customHeight="1">
      <c r="A45" s="133" t="s">
        <v>114</v>
      </c>
      <c r="B45" s="133"/>
      <c r="C45" s="133"/>
      <c r="D45" s="133"/>
      <c r="E45" s="133"/>
      <c r="F45" s="133"/>
    </row>
    <row r="46" spans="1:6" ht="12.75">
      <c r="A46" s="133" t="s">
        <v>115</v>
      </c>
      <c r="B46" s="133"/>
      <c r="C46" s="133"/>
      <c r="D46" s="133"/>
      <c r="E46" s="133"/>
      <c r="F46" s="133"/>
    </row>
    <row r="47" spans="1:6" ht="12.75">
      <c r="A47" s="25" t="s">
        <v>116</v>
      </c>
      <c r="B47" s="25"/>
      <c r="C47" s="25"/>
      <c r="D47" s="93">
        <v>0</v>
      </c>
      <c r="E47" s="25"/>
      <c r="F47" s="25"/>
    </row>
    <row r="48" spans="1:6" ht="12.75">
      <c r="A48" s="25" t="s">
        <v>117</v>
      </c>
      <c r="B48" s="25"/>
      <c r="C48" s="25"/>
      <c r="D48" s="93">
        <v>561850.51</v>
      </c>
      <c r="E48" s="25"/>
      <c r="F48" s="25"/>
    </row>
    <row r="49" spans="1:6" ht="12.75">
      <c r="A49" s="25" t="s">
        <v>118</v>
      </c>
      <c r="B49" s="25"/>
      <c r="C49" s="25"/>
      <c r="D49" s="93">
        <v>269253.99</v>
      </c>
      <c r="E49" s="25"/>
      <c r="F49" s="25"/>
    </row>
    <row r="50" spans="1:6" ht="12.75">
      <c r="A50" s="25" t="s">
        <v>119</v>
      </c>
      <c r="B50" s="25"/>
      <c r="C50" s="25"/>
      <c r="D50" s="25"/>
      <c r="E50" s="25"/>
      <c r="F50" s="25"/>
    </row>
    <row r="51" spans="1:6" ht="12.75">
      <c r="A51" s="25" t="s">
        <v>120</v>
      </c>
      <c r="B51" s="25"/>
      <c r="C51" s="25"/>
      <c r="D51" s="25"/>
      <c r="E51" s="25"/>
      <c r="F51" s="25"/>
    </row>
    <row r="53" spans="1:5" ht="12.75">
      <c r="A53" s="26" t="s">
        <v>110</v>
      </c>
      <c r="C53" s="26" t="s">
        <v>111</v>
      </c>
      <c r="E53" s="26" t="s">
        <v>112</v>
      </c>
    </row>
  </sheetData>
  <mergeCells count="11">
    <mergeCell ref="A45:F45"/>
    <mergeCell ref="A46:F46"/>
    <mergeCell ref="A3:B3"/>
    <mergeCell ref="C3:D3"/>
    <mergeCell ref="E3:F4"/>
    <mergeCell ref="A4:B4"/>
    <mergeCell ref="C4:D4"/>
    <mergeCell ref="A1:B2"/>
    <mergeCell ref="C1:D1"/>
    <mergeCell ref="E1:F2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="120" zoomScaleNormal="120" workbookViewId="0" topLeftCell="A1">
      <selection activeCell="D58" sqref="D58"/>
    </sheetView>
  </sheetViews>
  <sheetFormatPr defaultColWidth="9.140625" defaultRowHeight="12.75"/>
  <cols>
    <col min="1" max="1" width="20.00390625" style="0" customWidth="1"/>
    <col min="2" max="2" width="10.28125" style="0" customWidth="1"/>
    <col min="3" max="3" width="10.8515625" style="0" customWidth="1"/>
    <col min="4" max="4" width="22.00390625" style="0" customWidth="1"/>
    <col min="5" max="5" width="10.8515625" style="0" customWidth="1"/>
    <col min="6" max="6" width="10.57421875" style="0" customWidth="1"/>
  </cols>
  <sheetData>
    <row r="1" spans="1:6" ht="24.75" customHeight="1">
      <c r="A1" s="113" t="s">
        <v>0</v>
      </c>
      <c r="B1" s="114"/>
      <c r="C1" s="132" t="s">
        <v>121</v>
      </c>
      <c r="D1" s="118"/>
      <c r="E1" s="113" t="s">
        <v>122</v>
      </c>
      <c r="F1" s="114"/>
    </row>
    <row r="2" spans="1:6" ht="12.75">
      <c r="A2" s="115"/>
      <c r="B2" s="116"/>
      <c r="C2" s="130" t="s">
        <v>123</v>
      </c>
      <c r="D2" s="120"/>
      <c r="E2" s="115"/>
      <c r="F2" s="116"/>
    </row>
    <row r="3" spans="1:6" ht="12.75">
      <c r="A3" s="126" t="s">
        <v>2</v>
      </c>
      <c r="B3" s="127"/>
      <c r="C3" s="130" t="s">
        <v>194</v>
      </c>
      <c r="D3" s="120"/>
      <c r="E3" s="113" t="s">
        <v>3</v>
      </c>
      <c r="F3" s="114"/>
    </row>
    <row r="4" spans="1:6" ht="12.75">
      <c r="A4" s="131" t="s">
        <v>4</v>
      </c>
      <c r="B4" s="110"/>
      <c r="C4" s="109" t="s">
        <v>192</v>
      </c>
      <c r="D4" s="122"/>
      <c r="E4" s="115"/>
      <c r="F4" s="116"/>
    </row>
    <row r="5" spans="1:6" ht="12.75">
      <c r="A5" s="25"/>
      <c r="B5" s="25"/>
      <c r="C5" s="25"/>
      <c r="D5" s="25"/>
      <c r="E5" s="25"/>
      <c r="F5" s="25"/>
    </row>
    <row r="6" spans="1:6" ht="19.5">
      <c r="A6" s="27" t="s">
        <v>5</v>
      </c>
      <c r="B6" s="28" t="s">
        <v>124</v>
      </c>
      <c r="C6" s="28" t="s">
        <v>125</v>
      </c>
      <c r="D6" s="29" t="s">
        <v>7</v>
      </c>
      <c r="E6" s="28" t="s">
        <v>124</v>
      </c>
      <c r="F6" s="28" t="s">
        <v>125</v>
      </c>
    </row>
    <row r="7" spans="1:6" ht="12.75">
      <c r="A7" s="30" t="s">
        <v>11</v>
      </c>
      <c r="B7" s="14">
        <f>B8+B9+B18+B19+B23</f>
        <v>243453.79</v>
      </c>
      <c r="C7" s="14">
        <f>C8+C9+C18+C19+C23</f>
        <v>182506.99000000002</v>
      </c>
      <c r="D7" s="30" t="s">
        <v>126</v>
      </c>
      <c r="E7" s="31">
        <f>E8+E9+E12+E13+E16+E17+E18+E19</f>
        <v>385243.83</v>
      </c>
      <c r="F7" s="31">
        <f>F8+F9+F12+F13+F16+F17+F18+F19</f>
        <v>296480.45</v>
      </c>
    </row>
    <row r="8" spans="1:6" ht="18.75">
      <c r="A8" s="32" t="s">
        <v>13</v>
      </c>
      <c r="B8" s="51">
        <v>0</v>
      </c>
      <c r="C8" s="51">
        <v>0</v>
      </c>
      <c r="D8" s="32" t="s">
        <v>127</v>
      </c>
      <c r="E8" s="53">
        <v>413516.57</v>
      </c>
      <c r="F8" s="53">
        <v>323141.03</v>
      </c>
    </row>
    <row r="9" spans="1:6" ht="12.75">
      <c r="A9" s="32" t="s">
        <v>23</v>
      </c>
      <c r="B9" s="51">
        <f>B10+B16+B17</f>
        <v>243453.79</v>
      </c>
      <c r="C9" s="51">
        <f>C10+C16+C17</f>
        <v>182506.99000000002</v>
      </c>
      <c r="D9" s="32" t="s">
        <v>128</v>
      </c>
      <c r="E9" s="51">
        <f>E10-E11</f>
        <v>-28272.74</v>
      </c>
      <c r="F9" s="51">
        <f>-F11+F10</f>
        <v>-26660.58</v>
      </c>
    </row>
    <row r="10" spans="1:6" ht="12.75">
      <c r="A10" s="21" t="s">
        <v>25</v>
      </c>
      <c r="B10" s="10">
        <f>B11+B12+B13+B14+B15</f>
        <v>243453.79</v>
      </c>
      <c r="C10" s="10">
        <f>C11+C12+C13+C14+C15</f>
        <v>182506.99000000002</v>
      </c>
      <c r="D10" s="34" t="s">
        <v>129</v>
      </c>
      <c r="E10" s="33">
        <v>0</v>
      </c>
      <c r="F10" s="33">
        <v>0</v>
      </c>
    </row>
    <row r="11" spans="1:6" ht="12.75">
      <c r="A11" s="21" t="s">
        <v>130</v>
      </c>
      <c r="B11" s="10">
        <v>0</v>
      </c>
      <c r="C11" s="10">
        <v>0</v>
      </c>
      <c r="D11" s="34" t="s">
        <v>131</v>
      </c>
      <c r="E11" s="33">
        <v>28272.74</v>
      </c>
      <c r="F11" s="33">
        <v>26660.58</v>
      </c>
    </row>
    <row r="12" spans="1:6" ht="27.75">
      <c r="A12" s="34" t="s">
        <v>132</v>
      </c>
      <c r="B12" s="10">
        <v>0</v>
      </c>
      <c r="C12" s="10">
        <v>0</v>
      </c>
      <c r="D12" s="32" t="s">
        <v>133</v>
      </c>
      <c r="E12" s="10">
        <v>0</v>
      </c>
      <c r="F12" s="10">
        <v>0</v>
      </c>
    </row>
    <row r="13" spans="1:6" ht="19.5">
      <c r="A13" s="34" t="s">
        <v>134</v>
      </c>
      <c r="B13" s="10">
        <v>85913.57</v>
      </c>
      <c r="C13" s="10">
        <v>69842.69</v>
      </c>
      <c r="D13" s="32" t="s">
        <v>135</v>
      </c>
      <c r="E13" s="10">
        <v>0</v>
      </c>
      <c r="F13" s="10">
        <v>0</v>
      </c>
    </row>
    <row r="14" spans="1:6" ht="19.5">
      <c r="A14" s="34" t="s">
        <v>136</v>
      </c>
      <c r="B14" s="10">
        <v>153799.49</v>
      </c>
      <c r="C14" s="10">
        <v>109744.01</v>
      </c>
      <c r="D14" s="35" t="s">
        <v>137</v>
      </c>
      <c r="E14" s="10">
        <v>0</v>
      </c>
      <c r="F14" s="10">
        <v>0</v>
      </c>
    </row>
    <row r="15" spans="1:6" ht="19.5">
      <c r="A15" s="34" t="s">
        <v>138</v>
      </c>
      <c r="B15" s="10">
        <v>3740.73</v>
      </c>
      <c r="C15" s="10">
        <v>2920.29</v>
      </c>
      <c r="D15" s="35" t="s">
        <v>139</v>
      </c>
      <c r="E15" s="10">
        <v>0</v>
      </c>
      <c r="F15" s="10">
        <v>0</v>
      </c>
    </row>
    <row r="16" spans="1:6" ht="19.5">
      <c r="A16" s="34" t="s">
        <v>140</v>
      </c>
      <c r="B16" s="10">
        <v>0</v>
      </c>
      <c r="C16" s="10">
        <v>0</v>
      </c>
      <c r="D16" s="32" t="s">
        <v>141</v>
      </c>
      <c r="E16" s="33">
        <v>0</v>
      </c>
      <c r="F16" s="33">
        <v>0</v>
      </c>
    </row>
    <row r="17" spans="1:6" ht="19.5">
      <c r="A17" s="34" t="s">
        <v>142</v>
      </c>
      <c r="B17" s="10">
        <v>0</v>
      </c>
      <c r="C17" s="10">
        <v>0</v>
      </c>
      <c r="D17" s="32" t="s">
        <v>143</v>
      </c>
      <c r="E17" s="33">
        <v>0</v>
      </c>
      <c r="F17" s="33">
        <v>0</v>
      </c>
    </row>
    <row r="18" spans="1:6" ht="18.75">
      <c r="A18" s="32" t="s">
        <v>41</v>
      </c>
      <c r="B18" s="10">
        <v>0</v>
      </c>
      <c r="C18" s="10">
        <v>0</v>
      </c>
      <c r="D18" s="32" t="s">
        <v>144</v>
      </c>
      <c r="E18" s="33">
        <v>0</v>
      </c>
      <c r="F18" s="33">
        <v>0</v>
      </c>
    </row>
    <row r="19" spans="1:6" ht="18.75">
      <c r="A19" s="32" t="s">
        <v>145</v>
      </c>
      <c r="B19" s="10">
        <f>B20+B21+B22</f>
        <v>0</v>
      </c>
      <c r="C19" s="10">
        <f>C20+C21+C22</f>
        <v>0</v>
      </c>
      <c r="D19" s="32" t="s">
        <v>146</v>
      </c>
      <c r="E19" s="10">
        <v>0</v>
      </c>
      <c r="F19" s="10">
        <v>0</v>
      </c>
    </row>
    <row r="20" spans="1:6" ht="12.75">
      <c r="A20" s="34" t="s">
        <v>147</v>
      </c>
      <c r="B20" s="10">
        <v>0</v>
      </c>
      <c r="C20" s="10">
        <v>0</v>
      </c>
      <c r="D20" s="36" t="s">
        <v>148</v>
      </c>
      <c r="E20" s="31">
        <v>0</v>
      </c>
      <c r="F20" s="31">
        <v>0</v>
      </c>
    </row>
    <row r="21" spans="1:6" ht="19.5">
      <c r="A21" s="34" t="s">
        <v>149</v>
      </c>
      <c r="B21" s="10">
        <v>0</v>
      </c>
      <c r="C21" s="10">
        <v>0</v>
      </c>
      <c r="D21" s="34" t="s">
        <v>150</v>
      </c>
      <c r="E21" s="33">
        <v>0</v>
      </c>
      <c r="F21" s="33">
        <v>0</v>
      </c>
    </row>
    <row r="22" spans="1:6" ht="19.5">
      <c r="A22" s="34" t="s">
        <v>151</v>
      </c>
      <c r="B22" s="10">
        <v>0</v>
      </c>
      <c r="C22" s="10">
        <v>0</v>
      </c>
      <c r="D22" s="34" t="s">
        <v>152</v>
      </c>
      <c r="E22" s="33">
        <v>0</v>
      </c>
      <c r="F22" s="33">
        <v>0</v>
      </c>
    </row>
    <row r="23" spans="1:6" ht="18.75">
      <c r="A23" s="32" t="s">
        <v>153</v>
      </c>
      <c r="B23" s="10">
        <v>0</v>
      </c>
      <c r="C23" s="10">
        <v>0</v>
      </c>
      <c r="D23" s="36" t="s">
        <v>154</v>
      </c>
      <c r="E23" s="31">
        <v>0</v>
      </c>
      <c r="F23" s="31">
        <v>0</v>
      </c>
    </row>
    <row r="24" spans="1:6" ht="27.75">
      <c r="A24" s="36" t="s">
        <v>75</v>
      </c>
      <c r="B24" s="14">
        <f>B25+B30+B36+B40+B41</f>
        <v>406243.53</v>
      </c>
      <c r="C24" s="14">
        <f>C25+C30+C36+C40+C41</f>
        <v>436017.11</v>
      </c>
      <c r="D24" s="36" t="s">
        <v>155</v>
      </c>
      <c r="E24" s="31">
        <f>E25+E34</f>
        <v>253551.67</v>
      </c>
      <c r="F24" s="31">
        <f>F25+F34</f>
        <v>322043.65</v>
      </c>
    </row>
    <row r="25" spans="1:6" ht="18.75">
      <c r="A25" s="49" t="s">
        <v>77</v>
      </c>
      <c r="B25" s="50">
        <f>B26+B27+B28+B29</f>
        <v>8540.63</v>
      </c>
      <c r="C25" s="50">
        <f>C26+C27+C28+C29</f>
        <v>17167.03</v>
      </c>
      <c r="D25" s="32" t="s">
        <v>156</v>
      </c>
      <c r="E25" s="33">
        <f>E26+E27+E28+E29+E30+E31+E32+E33</f>
        <v>248451.13</v>
      </c>
      <c r="F25" s="33">
        <f>F26+F27+F28+F29+F30+F31+F32+F33</f>
        <v>321047.36000000004</v>
      </c>
    </row>
    <row r="26" spans="1:6" ht="19.5">
      <c r="A26" s="34" t="s">
        <v>157</v>
      </c>
      <c r="B26" s="10">
        <v>0</v>
      </c>
      <c r="C26" s="10">
        <v>0</v>
      </c>
      <c r="D26" s="34" t="s">
        <v>158</v>
      </c>
      <c r="E26" s="33">
        <v>117847.99</v>
      </c>
      <c r="F26" s="33">
        <v>201587.16</v>
      </c>
    </row>
    <row r="27" spans="1:6" ht="19.5">
      <c r="A27" s="34" t="s">
        <v>159</v>
      </c>
      <c r="B27" s="10">
        <v>0</v>
      </c>
      <c r="C27" s="10">
        <v>0</v>
      </c>
      <c r="D27" s="34" t="s">
        <v>160</v>
      </c>
      <c r="E27" s="33">
        <v>21132</v>
      </c>
      <c r="F27" s="33">
        <v>15686</v>
      </c>
    </row>
    <row r="28" spans="1:6" ht="19.5">
      <c r="A28" s="34" t="s">
        <v>161</v>
      </c>
      <c r="B28" s="10">
        <v>0</v>
      </c>
      <c r="C28" s="10">
        <v>0</v>
      </c>
      <c r="D28" s="34" t="s">
        <v>162</v>
      </c>
      <c r="E28" s="33">
        <v>48033.14</v>
      </c>
      <c r="F28" s="33">
        <v>37629.49</v>
      </c>
    </row>
    <row r="29" spans="1:6" ht="19.5">
      <c r="A29" s="34" t="s">
        <v>163</v>
      </c>
      <c r="B29" s="10">
        <v>8540.63</v>
      </c>
      <c r="C29" s="10">
        <v>17167.03</v>
      </c>
      <c r="D29" s="34" t="s">
        <v>164</v>
      </c>
      <c r="E29" s="33">
        <v>61438</v>
      </c>
      <c r="F29" s="33">
        <v>61198.25</v>
      </c>
    </row>
    <row r="30" spans="1:6" ht="18.75">
      <c r="A30" s="49" t="s">
        <v>165</v>
      </c>
      <c r="B30" s="10">
        <f>B31+B32+B33+B34+B35</f>
        <v>349584.12</v>
      </c>
      <c r="C30" s="10">
        <f>C31+C32+C33+C34+C35</f>
        <v>368088.07</v>
      </c>
      <c r="D30" s="34" t="s">
        <v>166</v>
      </c>
      <c r="E30" s="33">
        <v>0</v>
      </c>
      <c r="F30" s="33">
        <v>0</v>
      </c>
    </row>
    <row r="31" spans="1:6" ht="19.5">
      <c r="A31" s="34" t="s">
        <v>167</v>
      </c>
      <c r="B31" s="10">
        <v>349584.12</v>
      </c>
      <c r="C31" s="10">
        <v>368088.07</v>
      </c>
      <c r="D31" s="34" t="s">
        <v>168</v>
      </c>
      <c r="E31" s="33">
        <v>0</v>
      </c>
      <c r="F31" s="33">
        <v>0</v>
      </c>
    </row>
    <row r="32" spans="1:6" ht="29.25">
      <c r="A32" s="34" t="s">
        <v>169</v>
      </c>
      <c r="B32" s="10">
        <v>0</v>
      </c>
      <c r="C32" s="10">
        <v>0</v>
      </c>
      <c r="D32" s="34" t="s">
        <v>170</v>
      </c>
      <c r="E32" s="33">
        <v>0</v>
      </c>
      <c r="F32" s="33">
        <v>0</v>
      </c>
    </row>
    <row r="33" spans="1:6" ht="19.5">
      <c r="A33" s="34" t="s">
        <v>171</v>
      </c>
      <c r="B33" s="10">
        <v>0</v>
      </c>
      <c r="C33" s="10">
        <v>0</v>
      </c>
      <c r="D33" s="34" t="s">
        <v>172</v>
      </c>
      <c r="E33" s="33">
        <v>0</v>
      </c>
      <c r="F33" s="33">
        <v>4946.46</v>
      </c>
    </row>
    <row r="34" spans="1:6" ht="12.75">
      <c r="A34" s="34" t="s">
        <v>173</v>
      </c>
      <c r="B34" s="10">
        <v>0</v>
      </c>
      <c r="C34" s="10">
        <v>0</v>
      </c>
      <c r="D34" s="32" t="s">
        <v>174</v>
      </c>
      <c r="E34" s="33">
        <f>E35+E36</f>
        <v>5100.54</v>
      </c>
      <c r="F34" s="33">
        <f>F35+F36</f>
        <v>996.29</v>
      </c>
    </row>
    <row r="35" spans="1:6" ht="39">
      <c r="A35" s="34" t="s">
        <v>175</v>
      </c>
      <c r="B35" s="10">
        <v>0</v>
      </c>
      <c r="C35" s="10">
        <v>0</v>
      </c>
      <c r="D35" s="34" t="s">
        <v>176</v>
      </c>
      <c r="E35" s="33">
        <v>5100.54</v>
      </c>
      <c r="F35" s="33">
        <v>996.29</v>
      </c>
    </row>
    <row r="36" spans="1:6" ht="12.75">
      <c r="A36" s="49" t="s">
        <v>177</v>
      </c>
      <c r="B36" s="50">
        <f>B39+B38+B37</f>
        <v>48118.78</v>
      </c>
      <c r="C36" s="50">
        <f>C39+C38+C37</f>
        <v>42912.06</v>
      </c>
      <c r="D36" s="34" t="s">
        <v>178</v>
      </c>
      <c r="E36" s="33">
        <v>0</v>
      </c>
      <c r="F36" s="33">
        <v>0</v>
      </c>
    </row>
    <row r="37" spans="1:6" ht="12.75">
      <c r="A37" s="34" t="s">
        <v>179</v>
      </c>
      <c r="B37" s="10">
        <v>1745.77</v>
      </c>
      <c r="C37" s="10">
        <v>1693.88</v>
      </c>
      <c r="D37" s="36" t="s">
        <v>180</v>
      </c>
      <c r="E37" s="31">
        <v>0</v>
      </c>
      <c r="F37" s="31">
        <f>F38+F39</f>
        <v>0</v>
      </c>
    </row>
    <row r="38" spans="1:6" ht="19.5">
      <c r="A38" s="34" t="s">
        <v>181</v>
      </c>
      <c r="B38" s="10">
        <v>41272.47</v>
      </c>
      <c r="C38" s="10">
        <v>39884.78</v>
      </c>
      <c r="D38" s="32" t="s">
        <v>182</v>
      </c>
      <c r="E38" s="33">
        <v>0</v>
      </c>
      <c r="F38" s="33">
        <v>0</v>
      </c>
    </row>
    <row r="39" spans="1:6" ht="18.75">
      <c r="A39" s="34" t="s">
        <v>183</v>
      </c>
      <c r="B39" s="10">
        <v>5100.54</v>
      </c>
      <c r="C39" s="10">
        <v>1333.4</v>
      </c>
      <c r="D39" s="32" t="s">
        <v>184</v>
      </c>
      <c r="E39" s="33">
        <v>0</v>
      </c>
      <c r="F39" s="33">
        <v>0</v>
      </c>
    </row>
    <row r="40" spans="1:6" ht="18.75">
      <c r="A40" s="49" t="s">
        <v>185</v>
      </c>
      <c r="B40" s="50">
        <v>0</v>
      </c>
      <c r="C40" s="50">
        <v>0</v>
      </c>
      <c r="D40" s="36" t="s">
        <v>186</v>
      </c>
      <c r="E40" s="31">
        <v>0</v>
      </c>
      <c r="F40" s="31">
        <v>0</v>
      </c>
    </row>
    <row r="41" spans="1:6" ht="18.75">
      <c r="A41" s="49" t="s">
        <v>187</v>
      </c>
      <c r="B41" s="50">
        <v>0</v>
      </c>
      <c r="C41" s="50">
        <v>7849.95</v>
      </c>
      <c r="D41" s="21"/>
      <c r="E41" s="33"/>
      <c r="F41" s="33"/>
    </row>
    <row r="42" spans="1:6" ht="12.75">
      <c r="A42" s="32" t="s">
        <v>188</v>
      </c>
      <c r="B42" s="51">
        <v>0</v>
      </c>
      <c r="C42" s="51">
        <v>0</v>
      </c>
      <c r="D42" s="21"/>
      <c r="E42" s="33"/>
      <c r="F42" s="33"/>
    </row>
    <row r="43" spans="1:6" ht="12.75">
      <c r="A43" s="36" t="s">
        <v>189</v>
      </c>
      <c r="B43" s="14">
        <f>B7+B24+B42</f>
        <v>649697.3200000001</v>
      </c>
      <c r="C43" s="14">
        <f>C7+C24+C42</f>
        <v>618524.1</v>
      </c>
      <c r="D43" s="30" t="s">
        <v>190</v>
      </c>
      <c r="E43" s="31">
        <f>E7+E20+E23+E24+E37+E40</f>
        <v>638795.5</v>
      </c>
      <c r="F43" s="31">
        <f>F7+F20+F23+F24+F37+F40</f>
        <v>618524.1000000001</v>
      </c>
    </row>
    <row r="45" spans="1:6" ht="23.25" customHeight="1">
      <c r="A45" s="133" t="s">
        <v>114</v>
      </c>
      <c r="B45" s="133"/>
      <c r="C45" s="133"/>
      <c r="D45" s="133"/>
      <c r="E45" s="133"/>
      <c r="F45" s="133"/>
    </row>
    <row r="46" spans="1:6" ht="12.75">
      <c r="A46" s="133" t="s">
        <v>115</v>
      </c>
      <c r="B46" s="133"/>
      <c r="C46" s="133"/>
      <c r="D46" s="133"/>
      <c r="E46" s="133"/>
      <c r="F46" s="133"/>
    </row>
    <row r="47" spans="1:6" ht="12.75">
      <c r="A47" s="25" t="s">
        <v>116</v>
      </c>
      <c r="B47" s="25"/>
      <c r="C47" s="25"/>
      <c r="D47" s="93">
        <v>10821.22</v>
      </c>
      <c r="E47" s="25"/>
      <c r="F47" s="25"/>
    </row>
    <row r="48" spans="1:6" ht="12.75">
      <c r="A48" s="25" t="s">
        <v>117</v>
      </c>
      <c r="B48" s="25"/>
      <c r="C48" s="25"/>
      <c r="D48" s="93">
        <v>227774.11</v>
      </c>
      <c r="E48" s="25"/>
      <c r="F48" s="25"/>
    </row>
    <row r="49" spans="1:6" ht="12.75">
      <c r="A49" s="25" t="s">
        <v>118</v>
      </c>
      <c r="B49" s="25"/>
      <c r="C49" s="25"/>
      <c r="D49" s="93">
        <v>26377.74</v>
      </c>
      <c r="E49" s="25"/>
      <c r="F49" s="25"/>
    </row>
    <row r="50" spans="1:6" ht="12.75">
      <c r="A50" s="25" t="s">
        <v>119</v>
      </c>
      <c r="B50" s="25"/>
      <c r="C50" s="25"/>
      <c r="D50" s="93">
        <v>640126.41</v>
      </c>
      <c r="E50" s="25"/>
      <c r="F50" s="25"/>
    </row>
    <row r="51" spans="1:6" ht="12.75">
      <c r="A51" s="25" t="s">
        <v>120</v>
      </c>
      <c r="B51" s="25"/>
      <c r="C51" s="25"/>
      <c r="D51" s="25"/>
      <c r="E51" s="25"/>
      <c r="F51" s="25"/>
    </row>
    <row r="53" spans="1:5" ht="12.75">
      <c r="A53" s="26" t="s">
        <v>110</v>
      </c>
      <c r="C53" s="26" t="s">
        <v>111</v>
      </c>
      <c r="E53" s="26" t="s">
        <v>112</v>
      </c>
    </row>
  </sheetData>
  <mergeCells count="11">
    <mergeCell ref="A1:B2"/>
    <mergeCell ref="C1:D1"/>
    <mergeCell ref="E1:F2"/>
    <mergeCell ref="C2:D2"/>
    <mergeCell ref="A45:F45"/>
    <mergeCell ref="A46:F46"/>
    <mergeCell ref="A3:B3"/>
    <mergeCell ref="C3:D3"/>
    <mergeCell ref="E3:F4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="120" zoomScaleNormal="120" workbookViewId="0" topLeftCell="A1">
      <selection activeCell="B44" sqref="B44:C44"/>
    </sheetView>
  </sheetViews>
  <sheetFormatPr defaultColWidth="9.140625" defaultRowHeight="12.75"/>
  <cols>
    <col min="1" max="1" width="22.28125" style="0" customWidth="1"/>
    <col min="2" max="2" width="9.8515625" style="0" customWidth="1"/>
    <col min="3" max="3" width="9.28125" style="0" customWidth="1"/>
    <col min="4" max="4" width="21.57421875" style="0" customWidth="1"/>
    <col min="5" max="5" width="10.28125" style="0" customWidth="1"/>
    <col min="6" max="6" width="9.00390625" style="0" customWidth="1"/>
  </cols>
  <sheetData>
    <row r="1" spans="1:6" ht="19.5" customHeight="1">
      <c r="A1" s="113" t="s">
        <v>0</v>
      </c>
      <c r="B1" s="114"/>
      <c r="C1" s="132" t="s">
        <v>121</v>
      </c>
      <c r="D1" s="118"/>
      <c r="E1" s="113" t="s">
        <v>122</v>
      </c>
      <c r="F1" s="114"/>
    </row>
    <row r="2" spans="1:6" ht="12.75">
      <c r="A2" s="115"/>
      <c r="B2" s="116"/>
      <c r="C2" s="130" t="s">
        <v>123</v>
      </c>
      <c r="D2" s="120"/>
      <c r="E2" s="115"/>
      <c r="F2" s="116"/>
    </row>
    <row r="3" spans="1:6" ht="12.75">
      <c r="A3" s="126" t="s">
        <v>2</v>
      </c>
      <c r="B3" s="127"/>
      <c r="C3" s="135" t="s">
        <v>195</v>
      </c>
      <c r="D3" s="136"/>
      <c r="E3" s="113" t="s">
        <v>3</v>
      </c>
      <c r="F3" s="114"/>
    </row>
    <row r="4" spans="1:6" ht="12.75">
      <c r="A4" s="131" t="s">
        <v>4</v>
      </c>
      <c r="B4" s="110"/>
      <c r="C4" s="109" t="s">
        <v>192</v>
      </c>
      <c r="D4" s="122"/>
      <c r="E4" s="115"/>
      <c r="F4" s="116"/>
    </row>
    <row r="5" spans="1:6" ht="12.75">
      <c r="A5" s="25"/>
      <c r="B5" s="25"/>
      <c r="C5" s="25"/>
      <c r="D5" s="25"/>
      <c r="E5" s="25"/>
      <c r="F5" s="25"/>
    </row>
    <row r="6" spans="1:6" ht="19.5">
      <c r="A6" s="27" t="s">
        <v>5</v>
      </c>
      <c r="B6" s="28" t="s">
        <v>124</v>
      </c>
      <c r="C6" s="28" t="s">
        <v>125</v>
      </c>
      <c r="D6" s="29" t="s">
        <v>7</v>
      </c>
      <c r="E6" s="28" t="s">
        <v>124</v>
      </c>
      <c r="F6" s="28" t="s">
        <v>125</v>
      </c>
    </row>
    <row r="7" spans="1:6" ht="12.75">
      <c r="A7" s="30" t="s">
        <v>11</v>
      </c>
      <c r="B7" s="14">
        <f>B8+B9+B18+B19+B23</f>
        <v>3049247.71</v>
      </c>
      <c r="C7" s="14">
        <f>C8+C9+C18+C19+C23</f>
        <v>3000308.11</v>
      </c>
      <c r="D7" s="30" t="s">
        <v>126</v>
      </c>
      <c r="E7" s="31">
        <f>E8+E9+E12+E13+E16+E17+E18+E19</f>
        <v>2789954.24</v>
      </c>
      <c r="F7" s="31">
        <f>F8+F9+F12+F13+F16+F17+F18+F19</f>
        <v>2751000.48</v>
      </c>
    </row>
    <row r="8" spans="1:6" ht="18.75">
      <c r="A8" s="32" t="s">
        <v>13</v>
      </c>
      <c r="B8" s="51">
        <v>0</v>
      </c>
      <c r="C8" s="51">
        <v>0</v>
      </c>
      <c r="D8" s="32" t="s">
        <v>127</v>
      </c>
      <c r="E8" s="53">
        <f>1584132.03+638705.82+520771.06</f>
        <v>2743608.91</v>
      </c>
      <c r="F8" s="53">
        <f>1590072.34+634932.13+507251.48</f>
        <v>2732255.95</v>
      </c>
    </row>
    <row r="9" spans="1:6" ht="12.75">
      <c r="A9" s="32" t="s">
        <v>23</v>
      </c>
      <c r="B9" s="51">
        <f>B10+B16+B17</f>
        <v>3049247.71</v>
      </c>
      <c r="C9" s="51">
        <f>C10+C16+C17</f>
        <v>3000308.11</v>
      </c>
      <c r="D9" s="32" t="s">
        <v>128</v>
      </c>
      <c r="E9" s="51">
        <f>E10-E11</f>
        <v>46345.33</v>
      </c>
      <c r="F9" s="51">
        <f>-F11+F10</f>
        <v>18744.53</v>
      </c>
    </row>
    <row r="10" spans="1:6" ht="12.75">
      <c r="A10" s="21" t="s">
        <v>25</v>
      </c>
      <c r="B10" s="10">
        <f>B11+B12+B13+B14+B15</f>
        <v>3049247.71</v>
      </c>
      <c r="C10" s="10">
        <f>C11+C12+C13+C14+C15</f>
        <v>3000308.11</v>
      </c>
      <c r="D10" s="34" t="s">
        <v>129</v>
      </c>
      <c r="E10" s="33">
        <f>13034.09+19005.76+14305.48</f>
        <v>46345.33</v>
      </c>
      <c r="F10" s="33">
        <f>17378.6+2467.18</f>
        <v>19845.78</v>
      </c>
    </row>
    <row r="11" spans="1:6" ht="12.75">
      <c r="A11" s="21" t="s">
        <v>130</v>
      </c>
      <c r="B11" s="10">
        <v>0</v>
      </c>
      <c r="C11" s="10">
        <v>0</v>
      </c>
      <c r="D11" s="34" t="s">
        <v>131</v>
      </c>
      <c r="E11" s="33">
        <v>0</v>
      </c>
      <c r="F11" s="33">
        <f>1101.25</f>
        <v>1101.25</v>
      </c>
    </row>
    <row r="12" spans="1:6" ht="27.75">
      <c r="A12" s="34" t="s">
        <v>132</v>
      </c>
      <c r="B12" s="10">
        <f>1665721.53+762582.51+509954.17</f>
        <v>2938258.21</v>
      </c>
      <c r="C12" s="10">
        <f>1651966.43+737522.79+495025.25</f>
        <v>2884514.4699999997</v>
      </c>
      <c r="D12" s="32" t="s">
        <v>133</v>
      </c>
      <c r="E12" s="10">
        <v>0</v>
      </c>
      <c r="F12" s="10">
        <v>0</v>
      </c>
    </row>
    <row r="13" spans="1:6" ht="19.5">
      <c r="A13" s="34" t="s">
        <v>134</v>
      </c>
      <c r="B13" s="10">
        <f>21421.51+5290.73+84277.26</f>
        <v>110989.5</v>
      </c>
      <c r="C13" s="10">
        <f>28082.83+7571+80139.81</f>
        <v>115793.64</v>
      </c>
      <c r="D13" s="32" t="s">
        <v>135</v>
      </c>
      <c r="E13" s="10">
        <v>0</v>
      </c>
      <c r="F13" s="10">
        <v>0</v>
      </c>
    </row>
    <row r="14" spans="1:6" ht="19.5">
      <c r="A14" s="34" t="s">
        <v>136</v>
      </c>
      <c r="B14" s="10">
        <v>0</v>
      </c>
      <c r="C14" s="10">
        <v>0</v>
      </c>
      <c r="D14" s="35" t="s">
        <v>137</v>
      </c>
      <c r="E14" s="10">
        <v>0</v>
      </c>
      <c r="F14" s="10">
        <v>0</v>
      </c>
    </row>
    <row r="15" spans="1:6" ht="19.5">
      <c r="A15" s="34" t="s">
        <v>138</v>
      </c>
      <c r="B15" s="10">
        <v>0</v>
      </c>
      <c r="C15" s="10">
        <v>0</v>
      </c>
      <c r="D15" s="35" t="s">
        <v>139</v>
      </c>
      <c r="E15" s="10">
        <v>0</v>
      </c>
      <c r="F15" s="10">
        <v>0</v>
      </c>
    </row>
    <row r="16" spans="1:6" ht="19.5">
      <c r="A16" s="34" t="s">
        <v>140</v>
      </c>
      <c r="B16" s="10">
        <v>0</v>
      </c>
      <c r="C16" s="10">
        <v>0</v>
      </c>
      <c r="D16" s="32" t="s">
        <v>141</v>
      </c>
      <c r="E16" s="33">
        <v>0</v>
      </c>
      <c r="F16" s="33">
        <v>0</v>
      </c>
    </row>
    <row r="17" spans="1:6" ht="19.5">
      <c r="A17" s="34" t="s">
        <v>142</v>
      </c>
      <c r="B17" s="10">
        <v>0</v>
      </c>
      <c r="C17" s="10">
        <v>0</v>
      </c>
      <c r="D17" s="32" t="s">
        <v>143</v>
      </c>
      <c r="E17" s="33">
        <v>0</v>
      </c>
      <c r="F17" s="33">
        <v>0</v>
      </c>
    </row>
    <row r="18" spans="1:6" ht="18.75">
      <c r="A18" s="32" t="s">
        <v>41</v>
      </c>
      <c r="B18" s="10">
        <v>0</v>
      </c>
      <c r="C18" s="10">
        <v>0</v>
      </c>
      <c r="D18" s="32" t="s">
        <v>144</v>
      </c>
      <c r="E18" s="33">
        <v>0</v>
      </c>
      <c r="F18" s="33">
        <v>0</v>
      </c>
    </row>
    <row r="19" spans="1:6" ht="18.75">
      <c r="A19" s="32" t="s">
        <v>145</v>
      </c>
      <c r="B19" s="10">
        <f>B20+B21+B22</f>
        <v>0</v>
      </c>
      <c r="C19" s="10">
        <f>C20+C21+C22</f>
        <v>0</v>
      </c>
      <c r="D19" s="32" t="s">
        <v>146</v>
      </c>
      <c r="E19" s="10">
        <v>0</v>
      </c>
      <c r="F19" s="10">
        <v>0</v>
      </c>
    </row>
    <row r="20" spans="1:6" ht="12.75">
      <c r="A20" s="34" t="s">
        <v>147</v>
      </c>
      <c r="B20" s="10">
        <v>0</v>
      </c>
      <c r="C20" s="10">
        <v>0</v>
      </c>
      <c r="D20" s="36" t="s">
        <v>148</v>
      </c>
      <c r="E20" s="31">
        <v>0</v>
      </c>
      <c r="F20" s="31">
        <v>0</v>
      </c>
    </row>
    <row r="21" spans="1:6" ht="19.5">
      <c r="A21" s="34" t="s">
        <v>149</v>
      </c>
      <c r="B21" s="10">
        <v>0</v>
      </c>
      <c r="C21" s="10">
        <v>0</v>
      </c>
      <c r="D21" s="34" t="s">
        <v>150</v>
      </c>
      <c r="E21" s="33">
        <v>0</v>
      </c>
      <c r="F21" s="33">
        <v>0</v>
      </c>
    </row>
    <row r="22" spans="1:6" ht="19.5">
      <c r="A22" s="34" t="s">
        <v>151</v>
      </c>
      <c r="B22" s="10">
        <v>0</v>
      </c>
      <c r="C22" s="10">
        <v>0</v>
      </c>
      <c r="D22" s="34" t="s">
        <v>152</v>
      </c>
      <c r="E22" s="33">
        <v>0</v>
      </c>
      <c r="F22" s="33">
        <v>0</v>
      </c>
    </row>
    <row r="23" spans="1:6" ht="18.75">
      <c r="A23" s="32" t="s">
        <v>153</v>
      </c>
      <c r="B23" s="10">
        <v>0</v>
      </c>
      <c r="C23" s="10">
        <v>0</v>
      </c>
      <c r="D23" s="36" t="s">
        <v>154</v>
      </c>
      <c r="E23" s="31">
        <v>0</v>
      </c>
      <c r="F23" s="31">
        <v>0</v>
      </c>
    </row>
    <row r="24" spans="1:6" ht="27.75">
      <c r="A24" s="36" t="s">
        <v>75</v>
      </c>
      <c r="B24" s="14">
        <f>B25+B30+B36+B40+B41</f>
        <v>446907.83999999997</v>
      </c>
      <c r="C24" s="14">
        <f>C25+C30+C36+C40+C41</f>
        <v>384788.73</v>
      </c>
      <c r="D24" s="36" t="s">
        <v>155</v>
      </c>
      <c r="E24" s="31">
        <f>E25+E34</f>
        <v>706201.31</v>
      </c>
      <c r="F24" s="31">
        <f>F25+F34</f>
        <v>634096.36</v>
      </c>
    </row>
    <row r="25" spans="1:6" ht="18.75">
      <c r="A25" s="49" t="s">
        <v>77</v>
      </c>
      <c r="B25" s="50">
        <f>B26+B27+B28+B29</f>
        <v>19941.41</v>
      </c>
      <c r="C25" s="50">
        <f>C26+C27+C28+C29</f>
        <v>16875.72</v>
      </c>
      <c r="D25" s="32" t="s">
        <v>156</v>
      </c>
      <c r="E25" s="33">
        <f>E26+E27+E28+E29+E30+E31+E32+E33</f>
        <v>552739.23</v>
      </c>
      <c r="F25" s="33">
        <f>F26+F27+F28+F29+F30+F31+F32+F33</f>
        <v>472767.64</v>
      </c>
    </row>
    <row r="26" spans="1:6" ht="19.5">
      <c r="A26" s="34" t="s">
        <v>157</v>
      </c>
      <c r="B26" s="10">
        <f>1500.03+4396.68+7590.02</f>
        <v>13486.73</v>
      </c>
      <c r="C26" s="10">
        <f>2319.52+4396.68+6578.99</f>
        <v>13295.19</v>
      </c>
      <c r="D26" s="34" t="s">
        <v>158</v>
      </c>
      <c r="E26" s="33">
        <f>12618.85+18139.54+1559.04</f>
        <v>32317.43</v>
      </c>
      <c r="F26" s="33">
        <f>1288.1+14034.27+2965.35</f>
        <v>18287.72</v>
      </c>
    </row>
    <row r="27" spans="1:6" ht="12.75">
      <c r="A27" s="34" t="s">
        <v>159</v>
      </c>
      <c r="B27" s="10">
        <v>0</v>
      </c>
      <c r="C27" s="10">
        <v>0</v>
      </c>
      <c r="D27" s="34" t="s">
        <v>160</v>
      </c>
      <c r="E27" s="33">
        <f>16946+22634.99+7962</f>
        <v>47542.990000000005</v>
      </c>
      <c r="F27" s="33">
        <f>16781.6+27947.87+9691</f>
        <v>54420.47</v>
      </c>
    </row>
    <row r="28" spans="1:6" ht="19.5">
      <c r="A28" s="34" t="s">
        <v>161</v>
      </c>
      <c r="B28" s="10">
        <v>0</v>
      </c>
      <c r="C28" s="10">
        <v>0</v>
      </c>
      <c r="D28" s="34" t="s">
        <v>162</v>
      </c>
      <c r="E28" s="33">
        <f>72601.73+120916.15+39796.17</f>
        <v>233314.05</v>
      </c>
      <c r="F28" s="33">
        <f>33146.56+55962.64+39069.68</f>
        <v>128178.88</v>
      </c>
    </row>
    <row r="29" spans="1:6" ht="19.5">
      <c r="A29" s="34" t="s">
        <v>163</v>
      </c>
      <c r="B29" s="10">
        <f>800.15+2010.55+3643.98</f>
        <v>6454.68</v>
      </c>
      <c r="C29" s="10">
        <f>1005.63+2574.9</f>
        <v>3580.53</v>
      </c>
      <c r="D29" s="34" t="s">
        <v>164</v>
      </c>
      <c r="E29" s="33">
        <f>52473.03+128169.73+56461.3</f>
        <v>237104.06</v>
      </c>
      <c r="F29" s="33">
        <f>57575.27+140461.92+68678.97</f>
        <v>266716.16000000003</v>
      </c>
    </row>
    <row r="30" spans="1:6" ht="12.75">
      <c r="A30" s="49" t="s">
        <v>165</v>
      </c>
      <c r="B30" s="10">
        <f>B31+B32+B33+B34+B35</f>
        <v>116669.32</v>
      </c>
      <c r="C30" s="10">
        <f>C31+C32+C33+C34+C35</f>
        <v>151106.00999999998</v>
      </c>
      <c r="D30" s="34" t="s">
        <v>166</v>
      </c>
      <c r="E30" s="33">
        <f>2460.7</f>
        <v>2460.7</v>
      </c>
      <c r="F30" s="33">
        <f>2703.71+2460.7</f>
        <v>5164.41</v>
      </c>
    </row>
    <row r="31" spans="1:6" ht="19.5">
      <c r="A31" s="34" t="s">
        <v>167</v>
      </c>
      <c r="B31" s="10">
        <v>0</v>
      </c>
      <c r="C31" s="10">
        <v>0</v>
      </c>
      <c r="D31" s="34" t="s">
        <v>168</v>
      </c>
      <c r="E31" s="33">
        <v>0</v>
      </c>
      <c r="F31" s="33">
        <v>0</v>
      </c>
    </row>
    <row r="32" spans="1:6" ht="29.25">
      <c r="A32" s="34" t="s">
        <v>169</v>
      </c>
      <c r="B32" s="10">
        <v>0</v>
      </c>
      <c r="C32" s="10">
        <v>0</v>
      </c>
      <c r="D32" s="34" t="s">
        <v>170</v>
      </c>
      <c r="E32" s="33">
        <v>0</v>
      </c>
      <c r="F32" s="33">
        <v>0</v>
      </c>
    </row>
    <row r="33" spans="1:6" ht="19.5">
      <c r="A33" s="34" t="s">
        <v>171</v>
      </c>
      <c r="B33" s="10">
        <v>0</v>
      </c>
      <c r="C33" s="10">
        <v>0</v>
      </c>
      <c r="D33" s="34" t="s">
        <v>172</v>
      </c>
      <c r="E33" s="33">
        <v>0</v>
      </c>
      <c r="F33" s="33">
        <v>0</v>
      </c>
    </row>
    <row r="34" spans="1:6" ht="12.75">
      <c r="A34" s="34" t="s">
        <v>173</v>
      </c>
      <c r="B34" s="10">
        <f>201.3+116468.02</f>
        <v>116669.32</v>
      </c>
      <c r="C34" s="10">
        <f>18.3+151087.71</f>
        <v>151106.00999999998</v>
      </c>
      <c r="D34" s="32" t="s">
        <v>174</v>
      </c>
      <c r="E34" s="33">
        <f>E35+E36</f>
        <v>153462.08000000002</v>
      </c>
      <c r="F34" s="33">
        <f>F35+F36</f>
        <v>161328.72</v>
      </c>
    </row>
    <row r="35" spans="1:6" ht="29.25">
      <c r="A35" s="34" t="s">
        <v>175</v>
      </c>
      <c r="B35" s="10">
        <v>0</v>
      </c>
      <c r="C35" s="10">
        <v>0</v>
      </c>
      <c r="D35" s="34" t="s">
        <v>176</v>
      </c>
      <c r="E35" s="33">
        <f>26446.87+109634.24+17380.97</f>
        <v>153462.08000000002</v>
      </c>
      <c r="F35" s="33">
        <f>12979.85+143040.63+5308.24</f>
        <v>161328.72</v>
      </c>
    </row>
    <row r="36" spans="1:6" ht="12.75">
      <c r="A36" s="49" t="s">
        <v>177</v>
      </c>
      <c r="B36" s="50">
        <f>B39+B38+B37</f>
        <v>310297.11</v>
      </c>
      <c r="C36" s="50">
        <f>C39+C38+C37</f>
        <v>216807</v>
      </c>
      <c r="D36" s="34" t="s">
        <v>178</v>
      </c>
      <c r="E36" s="33">
        <v>0</v>
      </c>
      <c r="F36" s="33">
        <v>0</v>
      </c>
    </row>
    <row r="37" spans="1:6" ht="18.75">
      <c r="A37" s="34" t="s">
        <v>179</v>
      </c>
      <c r="B37" s="10">
        <v>0</v>
      </c>
      <c r="C37" s="10">
        <v>0</v>
      </c>
      <c r="D37" s="36" t="s">
        <v>180</v>
      </c>
      <c r="E37" s="31">
        <v>0</v>
      </c>
      <c r="F37" s="31">
        <f>F38+F39</f>
        <v>0</v>
      </c>
    </row>
    <row r="38" spans="1:6" ht="19.5">
      <c r="A38" s="34" t="s">
        <v>181</v>
      </c>
      <c r="B38" s="10">
        <f>88608.08+168918.44+52770.59</f>
        <v>310297.11</v>
      </c>
      <c r="C38" s="10">
        <f>31059.1+134634.95+51112.95</f>
        <v>216807</v>
      </c>
      <c r="D38" s="32" t="s">
        <v>182</v>
      </c>
      <c r="E38" s="33">
        <v>0</v>
      </c>
      <c r="F38" s="33">
        <v>0</v>
      </c>
    </row>
    <row r="39" spans="1:6" ht="18.75">
      <c r="A39" s="34" t="s">
        <v>183</v>
      </c>
      <c r="B39" s="10">
        <v>0</v>
      </c>
      <c r="C39" s="10">
        <v>0</v>
      </c>
      <c r="D39" s="32" t="s">
        <v>184</v>
      </c>
      <c r="E39" s="33">
        <v>0</v>
      </c>
      <c r="F39" s="33">
        <v>0</v>
      </c>
    </row>
    <row r="40" spans="1:6" ht="18.75">
      <c r="A40" s="49" t="s">
        <v>185</v>
      </c>
      <c r="B40" s="50">
        <v>0</v>
      </c>
      <c r="C40" s="50">
        <v>0</v>
      </c>
      <c r="D40" s="36" t="s">
        <v>186</v>
      </c>
      <c r="E40" s="31">
        <v>0</v>
      </c>
      <c r="F40" s="31">
        <v>0</v>
      </c>
    </row>
    <row r="41" spans="1:6" ht="12.75">
      <c r="A41" s="49" t="s">
        <v>187</v>
      </c>
      <c r="B41" s="50">
        <v>0</v>
      </c>
      <c r="C41" s="50">
        <v>0</v>
      </c>
      <c r="D41" s="21"/>
      <c r="E41" s="33"/>
      <c r="F41" s="33"/>
    </row>
    <row r="42" spans="1:6" ht="12.75">
      <c r="A42" s="32" t="s">
        <v>188</v>
      </c>
      <c r="B42" s="51">
        <v>0</v>
      </c>
      <c r="C42" s="51">
        <v>0</v>
      </c>
      <c r="D42" s="21"/>
      <c r="E42" s="33"/>
      <c r="F42" s="33"/>
    </row>
    <row r="43" spans="1:6" ht="12.75">
      <c r="A43" s="36" t="s">
        <v>189</v>
      </c>
      <c r="B43" s="14">
        <f>B7+B24+B42</f>
        <v>3496155.55</v>
      </c>
      <c r="C43" s="14">
        <f>C7+C24+C42</f>
        <v>3385096.84</v>
      </c>
      <c r="D43" s="30" t="s">
        <v>190</v>
      </c>
      <c r="E43" s="31">
        <f>E7+E20+E23+E24+E37+E40</f>
        <v>3496155.5500000003</v>
      </c>
      <c r="F43" s="31">
        <f>F7+F20+F23+F24+F37+F40</f>
        <v>3385096.84</v>
      </c>
    </row>
    <row r="44" spans="2:3" ht="12.75">
      <c r="B44" s="107"/>
      <c r="C44" s="108"/>
    </row>
    <row r="45" spans="1:6" ht="22.5" customHeight="1">
      <c r="A45" s="133" t="s">
        <v>114</v>
      </c>
      <c r="B45" s="133"/>
      <c r="C45" s="133"/>
      <c r="D45" s="133"/>
      <c r="E45" s="133"/>
      <c r="F45" s="133"/>
    </row>
    <row r="46" spans="1:6" ht="12.75">
      <c r="A46" s="133" t="s">
        <v>115</v>
      </c>
      <c r="B46" s="133"/>
      <c r="C46" s="133"/>
      <c r="D46" s="133"/>
      <c r="E46" s="133"/>
      <c r="F46" s="133"/>
    </row>
    <row r="47" spans="1:6" ht="12.75">
      <c r="A47" s="25" t="s">
        <v>116</v>
      </c>
      <c r="B47" s="25"/>
      <c r="C47" s="25"/>
      <c r="D47" s="93">
        <f>11310.52+21509.64</f>
        <v>32820.16</v>
      </c>
      <c r="E47" s="25"/>
      <c r="F47" s="25"/>
    </row>
    <row r="48" spans="1:6" ht="12.75">
      <c r="A48" s="25" t="s">
        <v>117</v>
      </c>
      <c r="B48" s="25"/>
      <c r="C48" s="25"/>
      <c r="D48" s="93">
        <f>615395.47+307598.06+185938.07</f>
        <v>1108931.6</v>
      </c>
      <c r="E48" s="25"/>
      <c r="F48" s="25"/>
    </row>
    <row r="49" spans="1:6" ht="12.75">
      <c r="A49" s="25" t="s">
        <v>118</v>
      </c>
      <c r="B49" s="25"/>
      <c r="C49" s="25"/>
      <c r="D49" s="93">
        <f>213246.75+320093.13</f>
        <v>533339.88</v>
      </c>
      <c r="E49" s="25"/>
      <c r="F49" s="25"/>
    </row>
    <row r="50" spans="1:6" ht="12.75">
      <c r="A50" s="25" t="s">
        <v>119</v>
      </c>
      <c r="B50" s="25"/>
      <c r="C50" s="25"/>
      <c r="D50" s="93">
        <v>0</v>
      </c>
      <c r="E50" s="25"/>
      <c r="F50" s="25"/>
    </row>
    <row r="51" spans="1:6" ht="12.75">
      <c r="A51" s="25" t="s">
        <v>120</v>
      </c>
      <c r="B51" s="25"/>
      <c r="C51" s="25"/>
      <c r="D51" s="25"/>
      <c r="E51" s="25"/>
      <c r="F51" s="25"/>
    </row>
    <row r="53" spans="1:5" ht="12.75">
      <c r="A53" s="26" t="s">
        <v>110</v>
      </c>
      <c r="C53" s="26" t="s">
        <v>111</v>
      </c>
      <c r="E53" s="26" t="s">
        <v>112</v>
      </c>
    </row>
  </sheetData>
  <mergeCells count="11">
    <mergeCell ref="A1:B2"/>
    <mergeCell ref="C1:D1"/>
    <mergeCell ref="E1:F2"/>
    <mergeCell ref="C2:D2"/>
    <mergeCell ref="A45:F45"/>
    <mergeCell ref="A46:F46"/>
    <mergeCell ref="A3:B3"/>
    <mergeCell ref="C3:D3"/>
    <mergeCell ref="E3:F4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="120" zoomScaleNormal="120" workbookViewId="0" topLeftCell="A1">
      <selection activeCell="F9" sqref="F9"/>
    </sheetView>
  </sheetViews>
  <sheetFormatPr defaultColWidth="9.140625" defaultRowHeight="12.75"/>
  <cols>
    <col min="1" max="1" width="22.28125" style="0" customWidth="1"/>
    <col min="2" max="2" width="11.140625" style="0" customWidth="1"/>
    <col min="3" max="3" width="10.28125" style="0" customWidth="1"/>
    <col min="4" max="4" width="18.7109375" style="0" customWidth="1"/>
    <col min="5" max="5" width="11.421875" style="0" customWidth="1"/>
    <col min="6" max="6" width="10.7109375" style="0" customWidth="1"/>
  </cols>
  <sheetData>
    <row r="1" spans="1:6" ht="24" customHeight="1">
      <c r="A1" s="113" t="s">
        <v>0</v>
      </c>
      <c r="B1" s="114"/>
      <c r="C1" s="132" t="s">
        <v>249</v>
      </c>
      <c r="D1" s="118"/>
      <c r="E1" s="113" t="s">
        <v>122</v>
      </c>
      <c r="F1" s="114"/>
    </row>
    <row r="2" spans="1:6" ht="9.75" customHeight="1">
      <c r="A2" s="115"/>
      <c r="B2" s="116"/>
      <c r="C2" s="135" t="s">
        <v>250</v>
      </c>
      <c r="D2" s="136"/>
      <c r="E2" s="115"/>
      <c r="F2" s="116"/>
    </row>
    <row r="3" spans="1:6" ht="12.75">
      <c r="A3" s="126" t="s">
        <v>2</v>
      </c>
      <c r="B3" s="127"/>
      <c r="C3" s="135" t="s">
        <v>251</v>
      </c>
      <c r="D3" s="136"/>
      <c r="E3" s="113" t="s">
        <v>3</v>
      </c>
      <c r="F3" s="114"/>
    </row>
    <row r="4" spans="1:6" ht="12.75">
      <c r="A4" s="131" t="s">
        <v>4</v>
      </c>
      <c r="B4" s="110"/>
      <c r="C4" s="109" t="s">
        <v>192</v>
      </c>
      <c r="D4" s="122"/>
      <c r="E4" s="115"/>
      <c r="F4" s="116"/>
    </row>
    <row r="5" spans="1:6" ht="12.75">
      <c r="A5" s="25"/>
      <c r="B5" s="25"/>
      <c r="C5" s="25"/>
      <c r="D5" s="25"/>
      <c r="E5" s="25"/>
      <c r="F5" s="25"/>
    </row>
    <row r="6" spans="1:6" ht="19.5">
      <c r="A6" s="27" t="s">
        <v>5</v>
      </c>
      <c r="B6" s="28" t="s">
        <v>124</v>
      </c>
      <c r="C6" s="28" t="s">
        <v>125</v>
      </c>
      <c r="D6" s="29" t="s">
        <v>7</v>
      </c>
      <c r="E6" s="28" t="s">
        <v>124</v>
      </c>
      <c r="F6" s="28" t="s">
        <v>125</v>
      </c>
    </row>
    <row r="7" spans="1:6" ht="12.75">
      <c r="A7" s="30" t="s">
        <v>11</v>
      </c>
      <c r="B7" s="14">
        <f>B8+B9+B18+B19+B23</f>
        <v>5667764.390000001</v>
      </c>
      <c r="C7" s="14">
        <f>C8+C9+C18+C19+C23</f>
        <v>6471009.279999999</v>
      </c>
      <c r="D7" s="30" t="s">
        <v>126</v>
      </c>
      <c r="E7" s="31">
        <f>E8+E9+E12+E13+E16+E17+E18+E19</f>
        <v>5549566.3</v>
      </c>
      <c r="F7" s="31">
        <f>F8+F9+F12+F13+F16+F17+F18+F19</f>
        <v>6263098.69</v>
      </c>
    </row>
    <row r="8" spans="1:6" ht="18.75">
      <c r="A8" s="32" t="s">
        <v>13</v>
      </c>
      <c r="B8" s="10">
        <f>'ZBIORCZY PM'!B9+'ZBIORCZY GM'!B9+'ZBIORCZY LO'!B8+'ZBIORCZY MZUK'!B8+'ZBIORCZY SP'!B8</f>
        <v>20675.82</v>
      </c>
      <c r="C8" s="10">
        <f>'ZBIORCZY PM'!C9+'ZBIORCZY GM'!C9+'ZBIORCZY LO'!C8+'ZBIORCZY MZUK'!C8+'ZBIORCZY SP'!C8</f>
        <v>20675.82</v>
      </c>
      <c r="D8" s="32" t="s">
        <v>127</v>
      </c>
      <c r="E8" s="53">
        <f>'ZBIORCZY PM'!E9+'ZBIORCZY GM'!E9+'ZBIORCZY LO'!E8+'ZBIORCZY MZUK'!E8+'ZBIORCZY SP'!E8</f>
        <v>5452774.92</v>
      </c>
      <c r="F8" s="53">
        <f>'ZBIORCZY PM'!F9+'ZBIORCZY GM'!F9+'ZBIORCZY LO'!F8+'ZBIORCZY MZUK'!F8+'ZBIORCZY SP'!F8</f>
        <v>6290500.600000001</v>
      </c>
    </row>
    <row r="9" spans="1:6" ht="12.75">
      <c r="A9" s="32" t="s">
        <v>23</v>
      </c>
      <c r="B9" s="51">
        <f>B10+B16+B17</f>
        <v>5647088.57</v>
      </c>
      <c r="C9" s="51">
        <f>C10+C16+C17</f>
        <v>6450333.459999999</v>
      </c>
      <c r="D9" s="32" t="s">
        <v>128</v>
      </c>
      <c r="E9" s="53">
        <f>'ZBIORCZY PM'!E10+'ZBIORCZY GM'!E10+'ZBIORCZY LO'!E9+'ZBIORCZY MZUK'!E9+'ZBIORCZY SP'!E9</f>
        <v>96791.37999999999</v>
      </c>
      <c r="F9" s="51">
        <f>'ZBIORCZY PM'!F10+'ZBIORCZY GM'!F10+'ZBIORCZY LO'!F9+'ZBIORCZY MZUK'!F9+'ZBIORCZY SP'!F9</f>
        <v>-27401.910000000018</v>
      </c>
    </row>
    <row r="10" spans="1:6" ht="12.75">
      <c r="A10" s="21" t="s">
        <v>25</v>
      </c>
      <c r="B10" s="10">
        <f>B11+B12+B13+B14+B15</f>
        <v>5647088.57</v>
      </c>
      <c r="C10" s="10">
        <f>C11+C12+C13+C14+C15</f>
        <v>6450333.459999999</v>
      </c>
      <c r="D10" s="34" t="s">
        <v>129</v>
      </c>
      <c r="E10" s="53">
        <f>'ZBIORCZY PM'!E11+'ZBIORCZY GM'!E11+'ZBIORCZY LO'!E10+'ZBIORCZY MZUK'!E10+'ZBIORCZY SP'!E10</f>
        <v>127666.11</v>
      </c>
      <c r="F10" s="53">
        <f>'ZBIORCZY PM'!F11+'ZBIORCZY GM'!F11+'ZBIORCZY LO'!F10+'ZBIORCZY MZUK'!F10+'ZBIORCZY SP'!F10</f>
        <v>63013.81999999999</v>
      </c>
    </row>
    <row r="11" spans="1:6" ht="12.75">
      <c r="A11" s="21" t="s">
        <v>130</v>
      </c>
      <c r="B11" s="10">
        <f>'ZBIORCZY PM'!B12+'ZBIORCZY GM'!B12+'ZBIORCZY LO'!B11+'ZBIORCZY MZUK'!B11+'ZBIORCZY SP'!B11</f>
        <v>0</v>
      </c>
      <c r="C11" s="10">
        <f>'ZBIORCZY PM'!C12+'ZBIORCZY GM'!C12+'ZBIORCZY LO'!C11+'ZBIORCZY MZUK'!C11+'ZBIORCZY SP'!C11</f>
        <v>475000</v>
      </c>
      <c r="D11" s="34" t="s">
        <v>131</v>
      </c>
      <c r="E11" s="53">
        <f>'ZBIORCZY PM'!E12+'ZBIORCZY GM'!E12+'ZBIORCZY LO'!E11+'ZBIORCZY MZUK'!E11+'ZBIORCZY SP'!E11</f>
        <v>30874.730000000003</v>
      </c>
      <c r="F11" s="53">
        <f>'ZBIORCZY PM'!F12+'ZBIORCZY GM'!F12+'ZBIORCZY LO'!F11+'ZBIORCZY MZUK'!F11+'ZBIORCZY SP'!F11</f>
        <v>90415.73000000001</v>
      </c>
    </row>
    <row r="12" spans="1:6" ht="27.75">
      <c r="A12" s="34" t="s">
        <v>132</v>
      </c>
      <c r="B12" s="10">
        <f>'ZBIORCZY PM'!B13+'ZBIORCZY GM'!B13+'ZBIORCZY LO'!B12+'ZBIORCZY MZUK'!B12+'ZBIORCZY SP'!B12</f>
        <v>5122168.34</v>
      </c>
      <c r="C12" s="10">
        <f>'ZBIORCZY PM'!C13+'ZBIORCZY GM'!C13+'ZBIORCZY LO'!C12+'ZBIORCZY MZUK'!C12+'ZBIORCZY SP'!C12</f>
        <v>5478186.279999999</v>
      </c>
      <c r="D12" s="32" t="s">
        <v>133</v>
      </c>
      <c r="E12" s="53">
        <f>'ZBIORCZY PM'!E13+'ZBIORCZY GM'!E13+'ZBIORCZY LO'!E12+'ZBIORCZY MZUK'!E12+'ZBIORCZY SP'!E12</f>
        <v>0</v>
      </c>
      <c r="F12" s="53">
        <f>'ZBIORCZY PM'!F13+'ZBIORCZY GM'!F13+'ZBIORCZY LO'!F12+'ZBIORCZY MZUK'!F12+'ZBIORCZY SP'!F12</f>
        <v>0</v>
      </c>
    </row>
    <row r="13" spans="1:6" ht="19.5">
      <c r="A13" s="34" t="s">
        <v>134</v>
      </c>
      <c r="B13" s="10">
        <f>'ZBIORCZY PM'!B14+'ZBIORCZY GM'!B14+'ZBIORCZY LO'!B13+'ZBIORCZY MZUK'!B13+'ZBIORCZY SP'!B13</f>
        <v>294298.19</v>
      </c>
      <c r="C13" s="10">
        <f>'ZBIORCZY PM'!C14+'ZBIORCZY GM'!C14+'ZBIORCZY LO'!C13+'ZBIORCZY MZUK'!C13+'ZBIORCZY SP'!C13</f>
        <v>304334.42</v>
      </c>
      <c r="D13" s="32" t="s">
        <v>135</v>
      </c>
      <c r="E13" s="53">
        <f>'ZBIORCZY PM'!E14+'ZBIORCZY GM'!E14+'ZBIORCZY LO'!E13+'ZBIORCZY MZUK'!E13+'ZBIORCZY SP'!E13</f>
        <v>0</v>
      </c>
      <c r="F13" s="53">
        <f>'ZBIORCZY PM'!F14+'ZBIORCZY GM'!F14+'ZBIORCZY LO'!F13+'ZBIORCZY MZUK'!F13+'ZBIORCZY SP'!F13</f>
        <v>0</v>
      </c>
    </row>
    <row r="14" spans="1:6" ht="19.5">
      <c r="A14" s="34" t="s">
        <v>136</v>
      </c>
      <c r="B14" s="10">
        <f>'ZBIORCZY PM'!B15+'ZBIORCZY GM'!B15+'ZBIORCZY LO'!B14+'ZBIORCZY MZUK'!B14+'ZBIORCZY SP'!B14</f>
        <v>153799.49</v>
      </c>
      <c r="C14" s="10">
        <f>'ZBIORCZY PM'!C15+'ZBIORCZY GM'!C15+'ZBIORCZY LO'!C14+'ZBIORCZY MZUK'!C14+'ZBIORCZY SP'!C14</f>
        <v>109744.01</v>
      </c>
      <c r="D14" s="35" t="s">
        <v>137</v>
      </c>
      <c r="E14" s="92">
        <f>'ZBIORCZY PM'!E15+'ZBIORCZY GM'!E15+'ZBIORCZY LO'!E14+'ZBIORCZY MZUK'!E14+'ZBIORCZY SP'!E14</f>
        <v>0</v>
      </c>
      <c r="F14" s="92">
        <f>'ZBIORCZY PM'!F15+'ZBIORCZY GM'!F15+'ZBIORCZY LO'!F14+'ZBIORCZY MZUK'!F14+'ZBIORCZY SP'!F14</f>
        <v>0</v>
      </c>
    </row>
    <row r="15" spans="1:6" ht="19.5">
      <c r="A15" s="34" t="s">
        <v>138</v>
      </c>
      <c r="B15" s="10">
        <f>'ZBIORCZY PM'!B16+'ZBIORCZY GM'!B16+'ZBIORCZY LO'!B15+'ZBIORCZY MZUK'!B15+'ZBIORCZY SP'!B15</f>
        <v>76822.54999999999</v>
      </c>
      <c r="C15" s="10">
        <f>'ZBIORCZY PM'!C16+'ZBIORCZY GM'!C16+'ZBIORCZY LO'!C15+'ZBIORCZY MZUK'!C15+'ZBIORCZY SP'!C15</f>
        <v>83068.74999999999</v>
      </c>
      <c r="D15" s="35" t="s">
        <v>139</v>
      </c>
      <c r="E15" s="92">
        <f>'ZBIORCZY PM'!E16+'ZBIORCZY GM'!E16+'ZBIORCZY LO'!E15+'ZBIORCZY MZUK'!E15+'ZBIORCZY SP'!E15</f>
        <v>0</v>
      </c>
      <c r="F15" s="11">
        <v>0</v>
      </c>
    </row>
    <row r="16" spans="1:6" ht="19.5">
      <c r="A16" s="34" t="s">
        <v>140</v>
      </c>
      <c r="B16" s="10">
        <f>'ZBIORCZY PM'!B17+'ZBIORCZY GM'!B17+'ZBIORCZY LO'!B16+'ZBIORCZY MZUK'!B16+'ZBIORCZY SP'!B16</f>
        <v>0</v>
      </c>
      <c r="C16" s="10">
        <f>'ZBIORCZY PM'!C17+'ZBIORCZY GM'!C17+'ZBIORCZY LO'!C16+'ZBIORCZY MZUK'!C16+'ZBIORCZY SP'!C16</f>
        <v>0</v>
      </c>
      <c r="D16" s="32" t="s">
        <v>141</v>
      </c>
      <c r="E16" s="53">
        <f>'ZBIORCZY PM'!E17+'ZBIORCZY GM'!E17+'ZBIORCZY LO'!E16+'ZBIORCZY MZUK'!E16+'ZBIORCZY SP'!E16</f>
        <v>0</v>
      </c>
      <c r="F16" s="53">
        <f>'ZBIORCZY PM'!F17+'ZBIORCZY GM'!F17+'ZBIORCZY LO'!F16+'ZBIORCZY MZUK'!F16+'ZBIORCZY SP'!F16</f>
        <v>0</v>
      </c>
    </row>
    <row r="17" spans="1:6" ht="19.5">
      <c r="A17" s="34" t="s">
        <v>142</v>
      </c>
      <c r="B17" s="10">
        <f>'ZBIORCZY PM'!B18+'ZBIORCZY GM'!B18+'ZBIORCZY LO'!B17+'ZBIORCZY MZUK'!B17+'ZBIORCZY SP'!B17</f>
        <v>0</v>
      </c>
      <c r="C17" s="10">
        <f>'ZBIORCZY PM'!C18+'ZBIORCZY GM'!C18+'ZBIORCZY LO'!C17+'ZBIORCZY MZUK'!C17+'ZBIORCZY SP'!C17</f>
        <v>0</v>
      </c>
      <c r="D17" s="32" t="s">
        <v>143</v>
      </c>
      <c r="E17" s="53">
        <f>'ZBIORCZY PM'!E18+'ZBIORCZY GM'!E18+'ZBIORCZY LO'!E17+'ZBIORCZY MZUK'!E17+'ZBIORCZY SP'!E17</f>
        <v>0</v>
      </c>
      <c r="F17" s="53">
        <f>'ZBIORCZY PM'!F18+'ZBIORCZY GM'!F18+'ZBIORCZY LO'!F17+'ZBIORCZY MZUK'!F17+'ZBIORCZY SP'!F17</f>
        <v>0</v>
      </c>
    </row>
    <row r="18" spans="1:6" ht="18.75">
      <c r="A18" s="32" t="s">
        <v>41</v>
      </c>
      <c r="B18" s="10">
        <f>'ZBIORCZY PM'!B19+'ZBIORCZY GM'!B19+'ZBIORCZY LO'!B18+'ZBIORCZY MZUK'!B18+'ZBIORCZY SP'!B18</f>
        <v>0</v>
      </c>
      <c r="C18" s="10">
        <f>'ZBIORCZY PM'!C19+'ZBIORCZY GM'!C19+'ZBIORCZY LO'!C18+'ZBIORCZY MZUK'!C18+'ZBIORCZY SP'!C18</f>
        <v>0</v>
      </c>
      <c r="D18" s="32" t="s">
        <v>144</v>
      </c>
      <c r="E18" s="53">
        <f>'ZBIORCZY PM'!E19+'ZBIORCZY GM'!E19+'ZBIORCZY LO'!E18+'ZBIORCZY MZUK'!E18+'ZBIORCZY SP'!E18</f>
        <v>0</v>
      </c>
      <c r="F18" s="53">
        <f>'ZBIORCZY PM'!F19+'ZBIORCZY GM'!F19+'ZBIORCZY LO'!F18+'ZBIORCZY MZUK'!F18+'ZBIORCZY SP'!F18</f>
        <v>0</v>
      </c>
    </row>
    <row r="19" spans="1:6" ht="18.75">
      <c r="A19" s="32" t="s">
        <v>145</v>
      </c>
      <c r="B19" s="10">
        <f>B20+B21+B22</f>
        <v>0</v>
      </c>
      <c r="C19" s="10">
        <f>C20+C21+C22</f>
        <v>0</v>
      </c>
      <c r="D19" s="32" t="s">
        <v>146</v>
      </c>
      <c r="E19" s="53">
        <f>'ZBIORCZY PM'!E20+'ZBIORCZY GM'!E20+'ZBIORCZY LO'!E19+'ZBIORCZY MZUK'!E19+'ZBIORCZY SP'!E19</f>
        <v>0</v>
      </c>
      <c r="F19" s="53">
        <f>'ZBIORCZY PM'!F20+'ZBIORCZY GM'!F20+'ZBIORCZY LO'!F19+'ZBIORCZY MZUK'!F19+'ZBIORCZY SP'!F19</f>
        <v>0</v>
      </c>
    </row>
    <row r="20" spans="1:6" ht="12.75">
      <c r="A20" s="34" t="s">
        <v>147</v>
      </c>
      <c r="B20" s="10">
        <f>'ZBIORCZY PM'!B21+'ZBIORCZY GM'!B21+'ZBIORCZY LO'!B20+'ZBIORCZY MZUK'!B20+'ZBIORCZY SP'!B20</f>
        <v>0</v>
      </c>
      <c r="C20" s="10">
        <f>'ZBIORCZY PM'!C21+'ZBIORCZY GM'!C21+'ZBIORCZY LO'!C20+'ZBIORCZY MZUK'!C20+'ZBIORCZY SP'!C20</f>
        <v>0</v>
      </c>
      <c r="D20" s="36" t="s">
        <v>148</v>
      </c>
      <c r="E20" s="31">
        <v>0</v>
      </c>
      <c r="F20" s="31">
        <v>0</v>
      </c>
    </row>
    <row r="21" spans="1:6" ht="19.5">
      <c r="A21" s="34" t="s">
        <v>149</v>
      </c>
      <c r="B21" s="10">
        <f>'ZBIORCZY PM'!B22+'ZBIORCZY GM'!B22+'ZBIORCZY LO'!B21+'ZBIORCZY MZUK'!B21+'ZBIORCZY SP'!B21</f>
        <v>0</v>
      </c>
      <c r="C21" s="10">
        <f>'ZBIORCZY PM'!C22+'ZBIORCZY GM'!C22+'ZBIORCZY LO'!C21+'ZBIORCZY MZUK'!C21+'ZBIORCZY SP'!C21</f>
        <v>0</v>
      </c>
      <c r="D21" s="34" t="s">
        <v>150</v>
      </c>
      <c r="E21" s="92">
        <f>'ZBIORCZY PM'!E22+'ZBIORCZY GM'!E22+'ZBIORCZY LO'!E21+'ZBIORCZY MZUK'!E21+'ZBIORCZY SP'!E21</f>
        <v>0</v>
      </c>
      <c r="F21" s="92">
        <f>'ZBIORCZY PM'!F22+'ZBIORCZY GM'!F22+'ZBIORCZY LO'!F21+'ZBIORCZY MZUK'!F21+'ZBIORCZY SP'!F21</f>
        <v>0</v>
      </c>
    </row>
    <row r="22" spans="1:6" ht="19.5">
      <c r="A22" s="34" t="s">
        <v>151</v>
      </c>
      <c r="B22" s="10">
        <f>'ZBIORCZY PM'!B23+'ZBIORCZY GM'!B23+'ZBIORCZY LO'!B22+'ZBIORCZY MZUK'!B22+'ZBIORCZY SP'!B22</f>
        <v>0</v>
      </c>
      <c r="C22" s="10">
        <f>'ZBIORCZY PM'!C23+'ZBIORCZY GM'!C23+'ZBIORCZY LO'!C22+'ZBIORCZY MZUK'!C22+'ZBIORCZY SP'!C22</f>
        <v>0</v>
      </c>
      <c r="D22" s="34" t="s">
        <v>152</v>
      </c>
      <c r="E22" s="92">
        <f>'ZBIORCZY PM'!E23+'ZBIORCZY GM'!E23+'ZBIORCZY LO'!E22+'ZBIORCZY MZUK'!E22+'ZBIORCZY SP'!E22</f>
        <v>0</v>
      </c>
      <c r="F22" s="92">
        <f>'ZBIORCZY PM'!F23+'ZBIORCZY GM'!F23+'ZBIORCZY LO'!F22+'ZBIORCZY MZUK'!F22+'ZBIORCZY SP'!F22</f>
        <v>0</v>
      </c>
    </row>
    <row r="23" spans="1:6" ht="18.75">
      <c r="A23" s="32" t="s">
        <v>153</v>
      </c>
      <c r="B23" s="10">
        <f>'ZBIORCZY PM'!B24+'ZBIORCZY GM'!B24+'ZBIORCZY LO'!B23+'ZBIORCZY MZUK'!B23+'ZBIORCZY SP'!B23</f>
        <v>0</v>
      </c>
      <c r="C23" s="10">
        <f>'ZBIORCZY PM'!C24+'ZBIORCZY GM'!C24+'ZBIORCZY LO'!C23+'ZBIORCZY MZUK'!C23+'ZBIORCZY SP'!C23</f>
        <v>0</v>
      </c>
      <c r="D23" s="36" t="s">
        <v>154</v>
      </c>
      <c r="E23" s="53">
        <f>'ZBIORCZY PM'!E24+'ZBIORCZY GM'!E24+'ZBIORCZY LO'!E23+'ZBIORCZY MZUK'!E23+'ZBIORCZY SP'!E23</f>
        <v>0</v>
      </c>
      <c r="F23" s="53">
        <f>'ZBIORCZY PM'!F24+'ZBIORCZY GM'!F24+'ZBIORCZY LO'!F23+'ZBIORCZY MZUK'!F23+'ZBIORCZY SP'!F23</f>
        <v>0</v>
      </c>
    </row>
    <row r="24" spans="1:6" ht="27.75">
      <c r="A24" s="36" t="s">
        <v>75</v>
      </c>
      <c r="B24" s="14">
        <f>B25+B30+B36+B40+B41</f>
        <v>1380784.44</v>
      </c>
      <c r="C24" s="14">
        <f>C25+C30+C36+C40+C41</f>
        <v>1339311.49</v>
      </c>
      <c r="D24" s="36" t="s">
        <v>155</v>
      </c>
      <c r="E24" s="31">
        <f>E25+E34</f>
        <v>1488080.7099999997</v>
      </c>
      <c r="F24" s="31">
        <f>F25+F34</f>
        <v>1547222.0799999998</v>
      </c>
    </row>
    <row r="25" spans="1:6" ht="18.75">
      <c r="A25" s="49" t="s">
        <v>77</v>
      </c>
      <c r="B25" s="50">
        <f>B26+B27+B28+B29</f>
        <v>58017.840000000004</v>
      </c>
      <c r="C25" s="50">
        <f>C26+C27+C28+C29</f>
        <v>62747.12</v>
      </c>
      <c r="D25" s="32" t="s">
        <v>156</v>
      </c>
      <c r="E25" s="33">
        <f>E26+E27+E28+E29+E30+E31+E32+E33</f>
        <v>1253379.2699999998</v>
      </c>
      <c r="F25" s="33">
        <f>F26+F27+F28+F29+F30+F31+F32+F33</f>
        <v>1283819.7799999998</v>
      </c>
    </row>
    <row r="26" spans="1:6" ht="19.5">
      <c r="A26" s="34" t="s">
        <v>157</v>
      </c>
      <c r="B26" s="10">
        <f>'ZBIORCZY PM'!B27+'ZBIORCZY GM'!B27+'ZBIORCZY LO'!B26+'ZBIORCZY MZUK'!B26+'ZBIORCZY SP'!B26</f>
        <v>35681.740000000005</v>
      </c>
      <c r="C26" s="10">
        <f>'ZBIORCZY PM'!C27+'ZBIORCZY GM'!C27+'ZBIORCZY LO'!C26+'ZBIORCZY MZUK'!C26+'ZBIORCZY SP'!C26</f>
        <v>35551.200000000004</v>
      </c>
      <c r="D26" s="34" t="s">
        <v>158</v>
      </c>
      <c r="E26" s="92">
        <f>'ZBIORCZY PM'!E27+'ZBIORCZY GM'!E27+'ZBIORCZY LO'!E26+'ZBIORCZY MZUK'!E26+'ZBIORCZY SP'!E26</f>
        <v>168768.88</v>
      </c>
      <c r="F26" s="92">
        <f>'ZBIORCZY PM'!F27+'ZBIORCZY GM'!F27+'ZBIORCZY LO'!F26+'ZBIORCZY MZUK'!F26+'ZBIORCZY SP'!F26</f>
        <v>261411.38</v>
      </c>
    </row>
    <row r="27" spans="1:6" ht="19.5">
      <c r="A27" s="34" t="s">
        <v>159</v>
      </c>
      <c r="B27" s="10">
        <f>'ZBIORCZY PM'!B28+'ZBIORCZY GM'!B28+'ZBIORCZY LO'!B27+'ZBIORCZY MZUK'!B27+'ZBIORCZY SP'!B27</f>
        <v>0</v>
      </c>
      <c r="C27" s="10">
        <f>'ZBIORCZY PM'!C28+'ZBIORCZY GM'!C28+'ZBIORCZY LO'!C27+'ZBIORCZY MZUK'!C27+'ZBIORCZY SP'!C27</f>
        <v>0</v>
      </c>
      <c r="D27" s="34" t="s">
        <v>160</v>
      </c>
      <c r="E27" s="92">
        <f>'ZBIORCZY PM'!E28+'ZBIORCZY GM'!E28+'ZBIORCZY LO'!E27+'ZBIORCZY MZUK'!E27+'ZBIORCZY SP'!E27</f>
        <v>104140.99</v>
      </c>
      <c r="F27" s="92">
        <f>'ZBIORCZY PM'!F28+'ZBIORCZY GM'!F28+'ZBIORCZY LO'!F27+'ZBIORCZY MZUK'!F27+'ZBIORCZY SP'!F27</f>
        <v>141463</v>
      </c>
    </row>
    <row r="28" spans="1:6" ht="19.5">
      <c r="A28" s="34" t="s">
        <v>161</v>
      </c>
      <c r="B28" s="10">
        <f>'ZBIORCZY PM'!B29+'ZBIORCZY GM'!B29+'ZBIORCZY LO'!B28+'ZBIORCZY MZUK'!B28+'ZBIORCZY SP'!B28</f>
        <v>0</v>
      </c>
      <c r="C28" s="10">
        <f>'ZBIORCZY PM'!C29+'ZBIORCZY GM'!C29+'ZBIORCZY LO'!C28+'ZBIORCZY MZUK'!C28+'ZBIORCZY SP'!C28</f>
        <v>0</v>
      </c>
      <c r="D28" s="34" t="s">
        <v>162</v>
      </c>
      <c r="E28" s="92">
        <f>'ZBIORCZY PM'!E29+'ZBIORCZY GM'!E29+'ZBIORCZY LO'!E28+'ZBIORCZY MZUK'!E28+'ZBIORCZY SP'!E28</f>
        <v>454669.06</v>
      </c>
      <c r="F28" s="92">
        <f>'ZBIORCZY PM'!F29+'ZBIORCZY GM'!F29+'ZBIORCZY LO'!F28+'ZBIORCZY MZUK'!F28+'ZBIORCZY SP'!F28</f>
        <v>293555.05</v>
      </c>
    </row>
    <row r="29" spans="1:6" ht="19.5">
      <c r="A29" s="34" t="s">
        <v>163</v>
      </c>
      <c r="B29" s="10">
        <f>'ZBIORCZY PM'!B30+'ZBIORCZY GM'!B30+'ZBIORCZY LO'!B29+'ZBIORCZY MZUK'!B29+'ZBIORCZY SP'!B29</f>
        <v>22336.1</v>
      </c>
      <c r="C29" s="10">
        <f>'ZBIORCZY PM'!C30+'ZBIORCZY GM'!C30+'ZBIORCZY LO'!C29+'ZBIORCZY MZUK'!C29+'ZBIORCZY SP'!C29</f>
        <v>27195.92</v>
      </c>
      <c r="D29" s="34" t="s">
        <v>164</v>
      </c>
      <c r="E29" s="92">
        <f>'ZBIORCZY PM'!E30+'ZBIORCZY GM'!E30+'ZBIORCZY LO'!E29+'ZBIORCZY MZUK'!E29+'ZBIORCZY SP'!E29</f>
        <v>462509.2</v>
      </c>
      <c r="F29" s="92">
        <f>'ZBIORCZY PM'!F30+'ZBIORCZY GM'!F30+'ZBIORCZY LO'!F29+'ZBIORCZY MZUK'!F29+'ZBIORCZY SP'!F29</f>
        <v>505083.62</v>
      </c>
    </row>
    <row r="30" spans="1:6" ht="12.75">
      <c r="A30" s="49" t="s">
        <v>165</v>
      </c>
      <c r="B30" s="10">
        <f>B31+B32+B33+B34+B35</f>
        <v>537380.04</v>
      </c>
      <c r="C30" s="10">
        <f>C31+C32+C33+C34+C35</f>
        <v>605634.12</v>
      </c>
      <c r="D30" s="34" t="s">
        <v>166</v>
      </c>
      <c r="E30" s="92">
        <f>'ZBIORCZY PM'!E31+'ZBIORCZY GM'!E31+'ZBIORCZY LO'!E30+'ZBIORCZY MZUK'!E30+'ZBIORCZY SP'!E30</f>
        <v>63291.14</v>
      </c>
      <c r="F30" s="92">
        <f>'ZBIORCZY PM'!F31+'ZBIORCZY GM'!F31+'ZBIORCZY LO'!F30+'ZBIORCZY MZUK'!F30+'ZBIORCZY SP'!F30</f>
        <v>77360.27</v>
      </c>
    </row>
    <row r="31" spans="1:6" ht="29.25">
      <c r="A31" s="34" t="s">
        <v>167</v>
      </c>
      <c r="B31" s="10">
        <f>'ZBIORCZY PM'!B32+'ZBIORCZY GM'!B32+'ZBIORCZY LO'!B31+'ZBIORCZY MZUK'!B31+'ZBIORCZY SP'!B31</f>
        <v>349704.12</v>
      </c>
      <c r="C31" s="10">
        <f>'ZBIORCZY PM'!C32+'ZBIORCZY GM'!C32+'ZBIORCZY LO'!C31+'ZBIORCZY MZUK'!C31+'ZBIORCZY SP'!C31</f>
        <v>369423.52</v>
      </c>
      <c r="D31" s="34" t="s">
        <v>168</v>
      </c>
      <c r="E31" s="92">
        <f>'ZBIORCZY PM'!E32+'ZBIORCZY GM'!E32+'ZBIORCZY LO'!E31+'ZBIORCZY MZUK'!E31+'ZBIORCZY SP'!E31</f>
        <v>0</v>
      </c>
      <c r="F31" s="92">
        <f>'ZBIORCZY PM'!F32+'ZBIORCZY GM'!F32+'ZBIORCZY LO'!F31+'ZBIORCZY MZUK'!F31+'ZBIORCZY SP'!F31</f>
        <v>0</v>
      </c>
    </row>
    <row r="32" spans="1:6" ht="39">
      <c r="A32" s="34" t="s">
        <v>169</v>
      </c>
      <c r="B32" s="10">
        <f>'ZBIORCZY PM'!B33+'ZBIORCZY GM'!B33+'ZBIORCZY LO'!B32+'ZBIORCZY MZUK'!B32+'ZBIORCZY SP'!B32</f>
        <v>0</v>
      </c>
      <c r="C32" s="10">
        <f>'ZBIORCZY PM'!C33+'ZBIORCZY GM'!C33+'ZBIORCZY LO'!C32+'ZBIORCZY MZUK'!C32+'ZBIORCZY SP'!C32</f>
        <v>0</v>
      </c>
      <c r="D32" s="34" t="s">
        <v>170</v>
      </c>
      <c r="E32" s="92">
        <f>'ZBIORCZY PM'!E33+'ZBIORCZY GM'!E33+'ZBIORCZY LO'!E32+'ZBIORCZY MZUK'!E32+'ZBIORCZY SP'!E32</f>
        <v>0</v>
      </c>
      <c r="F32" s="92">
        <f>'ZBIORCZY PM'!F33+'ZBIORCZY GM'!F33+'ZBIORCZY LO'!F32+'ZBIORCZY MZUK'!F32+'ZBIORCZY SP'!F32</f>
        <v>0</v>
      </c>
    </row>
    <row r="33" spans="1:6" ht="19.5">
      <c r="A33" s="34" t="s">
        <v>171</v>
      </c>
      <c r="B33" s="10">
        <f>'ZBIORCZY PM'!B34+'ZBIORCZY GM'!B34+'ZBIORCZY LO'!B33+'ZBIORCZY MZUK'!B33+'ZBIORCZY SP'!B33</f>
        <v>0</v>
      </c>
      <c r="C33" s="10">
        <f>'ZBIORCZY PM'!C34+'ZBIORCZY GM'!C34+'ZBIORCZY LO'!C33+'ZBIORCZY MZUK'!C33+'ZBIORCZY SP'!C33</f>
        <v>0</v>
      </c>
      <c r="D33" s="34" t="s">
        <v>172</v>
      </c>
      <c r="E33" s="92">
        <f>'ZBIORCZY PM'!E34+'ZBIORCZY GM'!E34+'ZBIORCZY LO'!E33+'ZBIORCZY MZUK'!E33+'ZBIORCZY SP'!E33</f>
        <v>0</v>
      </c>
      <c r="F33" s="92">
        <f>'ZBIORCZY PM'!F34+'ZBIORCZY GM'!F34+'ZBIORCZY LO'!F33+'ZBIORCZY MZUK'!F33+'ZBIORCZY SP'!F33</f>
        <v>4946.46</v>
      </c>
    </row>
    <row r="34" spans="1:6" ht="12.75">
      <c r="A34" s="34" t="s">
        <v>173</v>
      </c>
      <c r="B34" s="10">
        <f>'ZBIORCZY PM'!B35+'ZBIORCZY GM'!B35+'ZBIORCZY LO'!B34+'ZBIORCZY MZUK'!B34+'ZBIORCZY SP'!B34</f>
        <v>187675.92</v>
      </c>
      <c r="C34" s="10">
        <f>'ZBIORCZY PM'!C35+'ZBIORCZY GM'!C35+'ZBIORCZY LO'!C34+'ZBIORCZY MZUK'!C34+'ZBIORCZY SP'!C34</f>
        <v>236210.59999999998</v>
      </c>
      <c r="D34" s="32" t="s">
        <v>174</v>
      </c>
      <c r="E34" s="33">
        <f>E35+E36</f>
        <v>234701.44</v>
      </c>
      <c r="F34" s="33">
        <f>F35+F36</f>
        <v>263402.3</v>
      </c>
    </row>
    <row r="35" spans="1:6" ht="29.25">
      <c r="A35" s="34" t="s">
        <v>175</v>
      </c>
      <c r="B35" s="10">
        <f>'ZBIORCZY PM'!B36+'ZBIORCZY GM'!B36+'ZBIORCZY LO'!B35+'ZBIORCZY MZUK'!B35+'ZBIORCZY SP'!B35</f>
        <v>0</v>
      </c>
      <c r="C35" s="10">
        <f>'ZBIORCZY PM'!C36+'ZBIORCZY GM'!C36+'ZBIORCZY LO'!C35+'ZBIORCZY MZUK'!C35+'ZBIORCZY SP'!C35</f>
        <v>0</v>
      </c>
      <c r="D35" s="34" t="s">
        <v>176</v>
      </c>
      <c r="E35" s="92">
        <f>'ZBIORCZY PM'!E36+'ZBIORCZY GM'!E36+'ZBIORCZY LO'!E35+'ZBIORCZY MZUK'!E35+'ZBIORCZY SP'!E35</f>
        <v>234701.44</v>
      </c>
      <c r="F35" s="92">
        <f>'ZBIORCZY PM'!F36+'ZBIORCZY GM'!F36+'ZBIORCZY LO'!F35+'ZBIORCZY MZUK'!F35+'ZBIORCZY SP'!F35</f>
        <v>263402.3</v>
      </c>
    </row>
    <row r="36" spans="1:6" ht="12.75">
      <c r="A36" s="49" t="s">
        <v>177</v>
      </c>
      <c r="B36" s="50">
        <f>B39+B38+B37</f>
        <v>785386.56</v>
      </c>
      <c r="C36" s="50">
        <f>C39+C38+C37</f>
        <v>663080.3</v>
      </c>
      <c r="D36" s="34" t="s">
        <v>178</v>
      </c>
      <c r="E36" s="92">
        <f>'ZBIORCZY PM'!E37+'ZBIORCZY GM'!E37+'ZBIORCZY LO'!E36+'ZBIORCZY MZUK'!E36+'ZBIORCZY SP'!E36</f>
        <v>0</v>
      </c>
      <c r="F36" s="92">
        <f>'ZBIORCZY PM'!F37+'ZBIORCZY GM'!F37+'ZBIORCZY LO'!F36+'ZBIORCZY MZUK'!F36+'ZBIORCZY SP'!F36</f>
        <v>0</v>
      </c>
    </row>
    <row r="37" spans="1:6" ht="18.75">
      <c r="A37" s="34" t="s">
        <v>179</v>
      </c>
      <c r="B37" s="10">
        <f>'ZBIORCZY PM'!B38+'ZBIORCZY GM'!B38+'ZBIORCZY LO'!B37+'ZBIORCZY MZUK'!B37+'ZBIORCZY SP'!B37</f>
        <v>1745.77</v>
      </c>
      <c r="C37" s="10">
        <f>'ZBIORCZY PM'!C38+'ZBIORCZY GM'!C38+'ZBIORCZY LO'!C37+'ZBIORCZY MZUK'!C37+'ZBIORCZY SP'!C37</f>
        <v>1693.88</v>
      </c>
      <c r="D37" s="36" t="s">
        <v>180</v>
      </c>
      <c r="E37" s="31">
        <f>E38+E39</f>
        <v>0</v>
      </c>
      <c r="F37" s="31">
        <f>F38+F39</f>
        <v>0</v>
      </c>
    </row>
    <row r="38" spans="1:6" ht="27.75">
      <c r="A38" s="34" t="s">
        <v>181</v>
      </c>
      <c r="B38" s="10">
        <f>'ZBIORCZY PM'!B39+'ZBIORCZY GM'!B39+'ZBIORCZY LO'!B38+'ZBIORCZY MZUK'!B38+'ZBIORCZY SP'!B38</f>
        <v>778540.25</v>
      </c>
      <c r="C38" s="10">
        <f>'ZBIORCZY PM'!C39+'ZBIORCZY GM'!C39+'ZBIORCZY LO'!C38+'ZBIORCZY MZUK'!C38+'ZBIORCZY SP'!C38</f>
        <v>660053.02</v>
      </c>
      <c r="D38" s="32" t="s">
        <v>182</v>
      </c>
      <c r="E38" s="53">
        <f>'ZBIORCZY PM'!E39+'ZBIORCZY GM'!E39+'ZBIORCZY LO'!E38+'ZBIORCZY MZUK'!E38+'ZBIORCZY SP'!E38</f>
        <v>0</v>
      </c>
      <c r="F38" s="53">
        <f>'ZBIORCZY PM'!F39+'ZBIORCZY GM'!F39+'ZBIORCZY LO'!F38+'ZBIORCZY MZUK'!F38+'ZBIORCZY SP'!F38</f>
        <v>0</v>
      </c>
    </row>
    <row r="39" spans="1:6" ht="18.75">
      <c r="A39" s="34" t="s">
        <v>183</v>
      </c>
      <c r="B39" s="10">
        <f>'ZBIORCZY PM'!B40+'ZBIORCZY GM'!B40+'ZBIORCZY LO'!B39+'ZBIORCZY MZUK'!B39+'ZBIORCZY SP'!B39</f>
        <v>5100.54</v>
      </c>
      <c r="C39" s="10">
        <f>'ZBIORCZY PM'!C40+'ZBIORCZY GM'!C40+'ZBIORCZY LO'!C39+'ZBIORCZY MZUK'!C39+'ZBIORCZY SP'!C39</f>
        <v>1333.4</v>
      </c>
      <c r="D39" s="32" t="s">
        <v>184</v>
      </c>
      <c r="E39" s="53">
        <f>'ZBIORCZY PM'!E40+'ZBIORCZY GM'!E40+'ZBIORCZY LO'!E39+'ZBIORCZY MZUK'!E39+'ZBIORCZY SP'!E39</f>
        <v>0</v>
      </c>
      <c r="F39" s="53">
        <f>'ZBIORCZY PM'!F40+'ZBIORCZY GM'!F40+'ZBIORCZY LO'!F39+'ZBIORCZY MZUK'!F39+'ZBIORCZY SP'!F39</f>
        <v>0</v>
      </c>
    </row>
    <row r="40" spans="1:6" ht="18.75">
      <c r="A40" s="49" t="s">
        <v>185</v>
      </c>
      <c r="B40" s="10">
        <f>'ZBIORCZY PM'!B41+'ZBIORCZY GM'!B41+'ZBIORCZY LO'!B40+'ZBIORCZY MZUK'!B40+'ZBIORCZY SP'!B40</f>
        <v>0</v>
      </c>
      <c r="C40" s="10">
        <f>'ZBIORCZY PM'!C41+'ZBIORCZY GM'!C41+'ZBIORCZY LO'!C40+'ZBIORCZY MZUK'!C40+'ZBIORCZY SP'!C40</f>
        <v>0</v>
      </c>
      <c r="D40" s="36" t="s">
        <v>186</v>
      </c>
      <c r="E40" s="53">
        <f>'ZBIORCZY PM'!E41+'ZBIORCZY GM'!E41+'ZBIORCZY LO'!E40+'ZBIORCZY MZUK'!E40+'ZBIORCZY SP'!E40</f>
        <v>0</v>
      </c>
      <c r="F40" s="53">
        <f>'ZBIORCZY PM'!F41+'ZBIORCZY GM'!F41+'ZBIORCZY LO'!F40+'ZBIORCZY MZUK'!F40+'ZBIORCZY SP'!F40</f>
        <v>0</v>
      </c>
    </row>
    <row r="41" spans="1:6" ht="12.75">
      <c r="A41" s="49" t="s">
        <v>187</v>
      </c>
      <c r="B41" s="10">
        <f>'ZBIORCZY PM'!B42+'ZBIORCZY GM'!B42+'ZBIORCZY LO'!B41+'ZBIORCZY MZUK'!B41+'ZBIORCZY SP'!B41</f>
        <v>0</v>
      </c>
      <c r="C41" s="10">
        <f>'ZBIORCZY PM'!C42+'ZBIORCZY GM'!C42+'ZBIORCZY LO'!C41+'ZBIORCZY MZUK'!C41+'ZBIORCZY SP'!C41</f>
        <v>7849.95</v>
      </c>
      <c r="D41" s="21"/>
      <c r="E41" s="33"/>
      <c r="F41" s="33"/>
    </row>
    <row r="42" spans="1:6" ht="12.75">
      <c r="A42" s="32" t="s">
        <v>188</v>
      </c>
      <c r="B42" s="10">
        <f>'ZBIORCZY PM'!B43+'ZBIORCZY GM'!B43+'ZBIORCZY LO'!B42+'ZBIORCZY MZUK'!B42+'ZBIORCZY SP'!B42</f>
        <v>0</v>
      </c>
      <c r="C42" s="10">
        <f>'ZBIORCZY PM'!C43+'ZBIORCZY GM'!C43+'ZBIORCZY LO'!C42+'ZBIORCZY MZUK'!C42+'ZBIORCZY SP'!C42</f>
        <v>0</v>
      </c>
      <c r="D42" s="21"/>
      <c r="E42" s="33"/>
      <c r="F42" s="33"/>
    </row>
    <row r="43" spans="1:6" ht="12.75">
      <c r="A43" s="36" t="s">
        <v>189</v>
      </c>
      <c r="B43" s="14">
        <f>B7+B24+B42</f>
        <v>7048548.83</v>
      </c>
      <c r="C43" s="14">
        <f>C7+C24+C42</f>
        <v>7810320.77</v>
      </c>
      <c r="D43" s="30" t="s">
        <v>190</v>
      </c>
      <c r="E43" s="31">
        <f>E7+E20+E23+E24+E37+E40</f>
        <v>7037647.01</v>
      </c>
      <c r="F43" s="31">
        <f>F7+F20+F23+F24+F37+F40</f>
        <v>7810320.7700000005</v>
      </c>
    </row>
    <row r="45" spans="1:6" ht="20.25" customHeight="1">
      <c r="A45" s="133" t="s">
        <v>114</v>
      </c>
      <c r="B45" s="133"/>
      <c r="C45" s="133"/>
      <c r="D45" s="133"/>
      <c r="E45" s="133"/>
      <c r="F45" s="133"/>
    </row>
    <row r="46" spans="1:6" ht="12.75">
      <c r="A46" s="133" t="s">
        <v>115</v>
      </c>
      <c r="B46" s="133"/>
      <c r="C46" s="133"/>
      <c r="D46" s="133"/>
      <c r="E46" s="133"/>
      <c r="F46" s="133"/>
    </row>
    <row r="47" spans="1:6" ht="12.75">
      <c r="A47" s="25" t="s">
        <v>116</v>
      </c>
      <c r="B47" s="25"/>
      <c r="C47" s="25"/>
      <c r="D47" s="93">
        <f>'ZBIORCZY PM'!D48+'ZBIORCZY GM'!D48+'ZBIORCZY LO'!D47+'ZBIORCZY MZUK'!D47+'ZBIORCZY SP'!D48</f>
        <v>1136643.61</v>
      </c>
      <c r="E47" s="25"/>
      <c r="F47" s="25"/>
    </row>
    <row r="48" spans="1:6" ht="12.75">
      <c r="A48" s="25" t="s">
        <v>117</v>
      </c>
      <c r="B48" s="25"/>
      <c r="C48" s="25"/>
      <c r="D48" s="93">
        <f>'ZBIORCZY PM'!D49+'ZBIORCZY GM'!D49+'ZBIORCZY LO'!D48+'ZBIORCZY MZUK'!D48+'ZBIORCZY SP'!D48</f>
        <v>2418947.87</v>
      </c>
      <c r="E48" s="25"/>
      <c r="F48" s="25"/>
    </row>
    <row r="49" spans="1:6" ht="12.75">
      <c r="A49" s="25" t="s">
        <v>118</v>
      </c>
      <c r="B49" s="25"/>
      <c r="C49" s="25"/>
      <c r="D49" s="93">
        <f>'ZBIORCZY PM'!D50+'ZBIORCZY GM'!D50+'ZBIORCZY LO'!D49+'ZBIORCZY MZUK'!D49+'ZBIORCZY SP'!D49</f>
        <v>1246945.92</v>
      </c>
      <c r="E49" s="25"/>
      <c r="F49" s="25"/>
    </row>
    <row r="50" spans="1:6" ht="12.75">
      <c r="A50" s="25" t="s">
        <v>119</v>
      </c>
      <c r="B50" s="25"/>
      <c r="C50" s="25"/>
      <c r="D50" s="93">
        <f>'ZBIORCZY PM'!D51+'ZBIORCZY GM'!D51+'ZBIORCZY LO'!D50+'ZBIORCZY MZUK'!D50+'ZBIORCZY SP'!D50</f>
        <v>640126.41</v>
      </c>
      <c r="E50" s="25"/>
      <c r="F50" s="25"/>
    </row>
    <row r="51" spans="1:6" ht="12.75">
      <c r="A51" s="25" t="s">
        <v>120</v>
      </c>
      <c r="B51" s="25"/>
      <c r="C51" s="25"/>
      <c r="D51" s="25"/>
      <c r="E51" s="25"/>
      <c r="F51" s="25"/>
    </row>
    <row r="53" spans="1:5" ht="12.75">
      <c r="A53" s="26" t="s">
        <v>110</v>
      </c>
      <c r="C53" s="26" t="s">
        <v>111</v>
      </c>
      <c r="E53" s="26" t="s">
        <v>112</v>
      </c>
    </row>
  </sheetData>
  <mergeCells count="11">
    <mergeCell ref="A1:B2"/>
    <mergeCell ref="C1:D1"/>
    <mergeCell ref="E1:F2"/>
    <mergeCell ref="C2:D2"/>
    <mergeCell ref="A45:F45"/>
    <mergeCell ref="A46:F46"/>
    <mergeCell ref="A3:B3"/>
    <mergeCell ref="C3:D3"/>
    <mergeCell ref="E3:F4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zoomScale="120" zoomScaleNormal="120" workbookViewId="0" topLeftCell="A1">
      <selection activeCell="A45" sqref="A45:F45"/>
    </sheetView>
  </sheetViews>
  <sheetFormatPr defaultColWidth="9.140625" defaultRowHeight="12.75"/>
  <cols>
    <col min="1" max="1" width="20.28125" style="0" customWidth="1"/>
    <col min="2" max="2" width="11.421875" style="0" customWidth="1"/>
    <col min="3" max="3" width="11.7109375" style="0" customWidth="1"/>
    <col min="4" max="4" width="20.8515625" style="0" customWidth="1"/>
    <col min="5" max="5" width="11.00390625" style="0" customWidth="1"/>
    <col min="6" max="6" width="11.28125" style="0" customWidth="1"/>
  </cols>
  <sheetData>
    <row r="1" spans="1:6" ht="21" customHeight="1">
      <c r="A1" s="113" t="s">
        <v>0</v>
      </c>
      <c r="B1" s="114"/>
      <c r="C1" s="132" t="s">
        <v>252</v>
      </c>
      <c r="D1" s="118"/>
      <c r="E1" s="113" t="s">
        <v>122</v>
      </c>
      <c r="F1" s="114"/>
    </row>
    <row r="2" spans="1:6" ht="20.25" customHeight="1">
      <c r="A2" s="115"/>
      <c r="B2" s="116"/>
      <c r="C2" s="130" t="s">
        <v>253</v>
      </c>
      <c r="D2" s="120"/>
      <c r="E2" s="115"/>
      <c r="F2" s="116"/>
    </row>
    <row r="3" spans="1:6" ht="24" customHeight="1">
      <c r="A3" s="126" t="s">
        <v>2</v>
      </c>
      <c r="B3" s="127"/>
      <c r="C3" s="130" t="s">
        <v>254</v>
      </c>
      <c r="D3" s="120"/>
      <c r="E3" s="113" t="s">
        <v>3</v>
      </c>
      <c r="F3" s="114"/>
    </row>
    <row r="4" spans="1:6" ht="12.75">
      <c r="A4" s="131" t="s">
        <v>4</v>
      </c>
      <c r="B4" s="110"/>
      <c r="C4" s="109" t="s">
        <v>257</v>
      </c>
      <c r="D4" s="122"/>
      <c r="E4" s="115"/>
      <c r="F4" s="116"/>
    </row>
    <row r="5" spans="1:6" ht="12.75">
      <c r="A5" s="25"/>
      <c r="B5" s="25"/>
      <c r="C5" s="25"/>
      <c r="D5" s="25"/>
      <c r="E5" s="25"/>
      <c r="F5" s="25"/>
    </row>
    <row r="6" spans="1:6" ht="19.5">
      <c r="A6" s="29" t="s">
        <v>5</v>
      </c>
      <c r="B6" s="28" t="s">
        <v>124</v>
      </c>
      <c r="C6" s="28" t="s">
        <v>125</v>
      </c>
      <c r="D6" s="29" t="s">
        <v>7</v>
      </c>
      <c r="E6" s="28" t="s">
        <v>124</v>
      </c>
      <c r="F6" s="28" t="s">
        <v>125</v>
      </c>
    </row>
    <row r="7" spans="1:6" ht="12.75">
      <c r="A7" s="30" t="s">
        <v>11</v>
      </c>
      <c r="B7" s="14">
        <v>103831813.33000001</v>
      </c>
      <c r="C7" s="14">
        <f>C8+C9+C18+C19</f>
        <v>112098074.59</v>
      </c>
      <c r="D7" s="30" t="s">
        <v>126</v>
      </c>
      <c r="E7" s="31">
        <v>100993855.19</v>
      </c>
      <c r="F7" s="31">
        <f>F8+F9+F12+F13+F16+F17+F18+F19</f>
        <v>107151468.75</v>
      </c>
    </row>
    <row r="8" spans="1:6" ht="18.75">
      <c r="A8" s="32" t="s">
        <v>13</v>
      </c>
      <c r="B8" s="10">
        <v>5277.62</v>
      </c>
      <c r="C8" s="10">
        <v>16033.53</v>
      </c>
      <c r="D8" s="32" t="s">
        <v>127</v>
      </c>
      <c r="E8" s="33">
        <v>116526096.08</v>
      </c>
      <c r="F8" s="33">
        <v>120366127.18</v>
      </c>
    </row>
    <row r="9" spans="1:6" ht="12.75">
      <c r="A9" s="32" t="s">
        <v>23</v>
      </c>
      <c r="B9" s="10">
        <v>92130935.71000001</v>
      </c>
      <c r="C9" s="10">
        <f>C10+C16+C17</f>
        <v>100376441.06</v>
      </c>
      <c r="D9" s="32" t="s">
        <v>128</v>
      </c>
      <c r="E9" s="10">
        <v>-9750379.05</v>
      </c>
      <c r="F9" s="10">
        <v>-6264816.68</v>
      </c>
    </row>
    <row r="10" spans="1:6" ht="12.75">
      <c r="A10" s="21" t="s">
        <v>25</v>
      </c>
      <c r="B10" s="10">
        <v>91885367.17</v>
      </c>
      <c r="C10" s="10">
        <f>C11+C12+C13+C14+C15</f>
        <v>97335146.14</v>
      </c>
      <c r="D10" s="34" t="s">
        <v>129</v>
      </c>
      <c r="E10" s="33">
        <v>0</v>
      </c>
      <c r="F10" s="33">
        <v>1013193.28</v>
      </c>
    </row>
    <row r="11" spans="1:6" ht="12.75">
      <c r="A11" s="21" t="s">
        <v>130</v>
      </c>
      <c r="B11" s="10">
        <v>52694728.7</v>
      </c>
      <c r="C11" s="10">
        <v>51353126.55</v>
      </c>
      <c r="D11" s="34" t="s">
        <v>131</v>
      </c>
      <c r="E11" s="33">
        <v>9750379.05</v>
      </c>
      <c r="F11" s="33">
        <v>7278009.96</v>
      </c>
    </row>
    <row r="12" spans="1:6" ht="27.75">
      <c r="A12" s="34" t="s">
        <v>132</v>
      </c>
      <c r="B12" s="10">
        <v>38776831.95</v>
      </c>
      <c r="C12" s="10">
        <v>44957176.5</v>
      </c>
      <c r="D12" s="32" t="s">
        <v>133</v>
      </c>
      <c r="E12" s="10">
        <v>-3270506.48</v>
      </c>
      <c r="F12" s="10">
        <v>-4413230.24</v>
      </c>
    </row>
    <row r="13" spans="1:6" ht="19.5">
      <c r="A13" s="34" t="s">
        <v>134</v>
      </c>
      <c r="B13" s="10">
        <v>207845.04</v>
      </c>
      <c r="C13" s="10">
        <v>807119.46</v>
      </c>
      <c r="D13" s="32" t="s">
        <v>135</v>
      </c>
      <c r="E13" s="10">
        <v>-989472.12</v>
      </c>
      <c r="F13" s="10">
        <v>-2536611.51</v>
      </c>
    </row>
    <row r="14" spans="1:6" ht="19.5">
      <c r="A14" s="34" t="s">
        <v>136</v>
      </c>
      <c r="B14" s="10">
        <v>174749.21</v>
      </c>
      <c r="C14" s="10">
        <v>133209.29</v>
      </c>
      <c r="D14" s="35" t="s">
        <v>137</v>
      </c>
      <c r="E14" s="10">
        <v>0</v>
      </c>
      <c r="F14" s="10">
        <v>0</v>
      </c>
    </row>
    <row r="15" spans="1:6" ht="19.5">
      <c r="A15" s="34" t="s">
        <v>138</v>
      </c>
      <c r="B15" s="10">
        <v>31212.27</v>
      </c>
      <c r="C15" s="10">
        <v>84514.34</v>
      </c>
      <c r="D15" s="35" t="s">
        <v>139</v>
      </c>
      <c r="E15" s="10">
        <v>-1371883.24</v>
      </c>
      <c r="F15" s="10">
        <v>-14575.91</v>
      </c>
    </row>
    <row r="16" spans="1:6" ht="19.5">
      <c r="A16" s="34" t="s">
        <v>140</v>
      </c>
      <c r="B16" s="10">
        <v>245568.54</v>
      </c>
      <c r="C16" s="10">
        <v>3041294.92</v>
      </c>
      <c r="D16" s="32" t="s">
        <v>141</v>
      </c>
      <c r="E16" s="33">
        <v>0</v>
      </c>
      <c r="F16" s="33">
        <v>0</v>
      </c>
    </row>
    <row r="17" spans="1:6" ht="19.5">
      <c r="A17" s="34" t="s">
        <v>142</v>
      </c>
      <c r="B17" s="10">
        <v>0</v>
      </c>
      <c r="C17" s="10">
        <v>0</v>
      </c>
      <c r="D17" s="32" t="s">
        <v>143</v>
      </c>
      <c r="E17" s="33">
        <v>0</v>
      </c>
      <c r="F17" s="33">
        <v>0</v>
      </c>
    </row>
    <row r="18" spans="1:6" ht="18.75">
      <c r="A18" s="32" t="s">
        <v>41</v>
      </c>
      <c r="B18" s="10">
        <v>0</v>
      </c>
      <c r="C18" s="10">
        <v>0</v>
      </c>
      <c r="D18" s="32" t="s">
        <v>144</v>
      </c>
      <c r="E18" s="33">
        <v>0</v>
      </c>
      <c r="F18" s="33">
        <v>0</v>
      </c>
    </row>
    <row r="19" spans="1:6" ht="18.75">
      <c r="A19" s="32" t="s">
        <v>145</v>
      </c>
      <c r="B19" s="9">
        <v>11695600</v>
      </c>
      <c r="C19" s="9">
        <f>C20+C21+C22</f>
        <v>11705600</v>
      </c>
      <c r="D19" s="32" t="s">
        <v>146</v>
      </c>
      <c r="E19" s="10">
        <v>-150000</v>
      </c>
      <c r="F19" s="10">
        <v>0</v>
      </c>
    </row>
    <row r="20" spans="1:6" ht="12.75">
      <c r="A20" s="34" t="s">
        <v>147</v>
      </c>
      <c r="B20" s="10">
        <v>11695600</v>
      </c>
      <c r="C20" s="10">
        <v>11705600</v>
      </c>
      <c r="D20" s="36" t="s">
        <v>148</v>
      </c>
      <c r="E20" s="31">
        <v>0</v>
      </c>
      <c r="F20" s="31">
        <f>F21+F22</f>
        <v>0</v>
      </c>
    </row>
    <row r="21" spans="1:6" ht="19.5">
      <c r="A21" s="34" t="s">
        <v>149</v>
      </c>
      <c r="B21" s="10">
        <v>0</v>
      </c>
      <c r="C21" s="10">
        <v>0</v>
      </c>
      <c r="D21" s="34" t="s">
        <v>150</v>
      </c>
      <c r="E21" s="33">
        <v>0</v>
      </c>
      <c r="F21" s="33">
        <v>0</v>
      </c>
    </row>
    <row r="22" spans="1:6" ht="19.5">
      <c r="A22" s="34" t="s">
        <v>151</v>
      </c>
      <c r="B22" s="10">
        <v>0</v>
      </c>
      <c r="C22" s="10">
        <v>0</v>
      </c>
      <c r="D22" s="34" t="s">
        <v>152</v>
      </c>
      <c r="E22" s="33">
        <v>0</v>
      </c>
      <c r="F22" s="33">
        <v>0</v>
      </c>
    </row>
    <row r="23" spans="1:6" ht="18.75">
      <c r="A23" s="32" t="s">
        <v>153</v>
      </c>
      <c r="B23" s="10" t="s">
        <v>255</v>
      </c>
      <c r="C23" s="10" t="s">
        <v>255</v>
      </c>
      <c r="D23" s="36" t="s">
        <v>154</v>
      </c>
      <c r="E23" s="31">
        <v>6547748.17</v>
      </c>
      <c r="F23" s="31">
        <v>9393195.16</v>
      </c>
    </row>
    <row r="24" spans="1:6" ht="27.75">
      <c r="A24" s="36" t="s">
        <v>75</v>
      </c>
      <c r="B24" s="14">
        <v>5471157.47</v>
      </c>
      <c r="C24" s="14">
        <f>C25+C30+C36+C40+C41</f>
        <v>7063237.2700000005</v>
      </c>
      <c r="D24" s="36" t="s">
        <v>155</v>
      </c>
      <c r="E24" s="31">
        <v>1186050.44</v>
      </c>
      <c r="F24" s="31">
        <f>F25+F34</f>
        <v>1504841.0500000003</v>
      </c>
    </row>
    <row r="25" spans="1:6" ht="18.75">
      <c r="A25" s="32" t="s">
        <v>77</v>
      </c>
      <c r="B25" s="10">
        <v>0</v>
      </c>
      <c r="C25" s="10">
        <f>C26+C27+C28+C29</f>
        <v>11570.4</v>
      </c>
      <c r="D25" s="32" t="s">
        <v>156</v>
      </c>
      <c r="E25" s="33">
        <v>969551.78</v>
      </c>
      <c r="F25" s="33">
        <f>F26+F27+F28+F29+F30+F31+F32+F33</f>
        <v>1234383.8000000003</v>
      </c>
    </row>
    <row r="26" spans="1:6" ht="19.5">
      <c r="A26" s="34" t="s">
        <v>157</v>
      </c>
      <c r="B26" s="10">
        <v>0</v>
      </c>
      <c r="C26" s="10">
        <v>11570.4</v>
      </c>
      <c r="D26" s="34" t="s">
        <v>158</v>
      </c>
      <c r="E26" s="33">
        <v>423557.54</v>
      </c>
      <c r="F26" s="33">
        <v>480359.96</v>
      </c>
    </row>
    <row r="27" spans="1:6" ht="19.5">
      <c r="A27" s="34" t="s">
        <v>159</v>
      </c>
      <c r="B27" s="10">
        <v>0</v>
      </c>
      <c r="C27" s="10">
        <v>0</v>
      </c>
      <c r="D27" s="34" t="s">
        <v>160</v>
      </c>
      <c r="E27" s="33">
        <v>56858.17</v>
      </c>
      <c r="F27" s="33">
        <v>70127.59</v>
      </c>
    </row>
    <row r="28" spans="1:6" ht="19.5">
      <c r="A28" s="34" t="s">
        <v>161</v>
      </c>
      <c r="B28" s="10">
        <v>0</v>
      </c>
      <c r="C28" s="10">
        <v>0</v>
      </c>
      <c r="D28" s="34" t="s">
        <v>162</v>
      </c>
      <c r="E28" s="33">
        <v>130174.75</v>
      </c>
      <c r="F28" s="33">
        <v>183695.32</v>
      </c>
    </row>
    <row r="29" spans="1:6" ht="19.5">
      <c r="A29" s="34" t="s">
        <v>163</v>
      </c>
      <c r="B29" s="10">
        <v>0</v>
      </c>
      <c r="C29" s="10">
        <v>0</v>
      </c>
      <c r="D29" s="34" t="s">
        <v>164</v>
      </c>
      <c r="E29" s="33">
        <v>88212.25</v>
      </c>
      <c r="F29" s="33">
        <v>170251.36</v>
      </c>
    </row>
    <row r="30" spans="1:6" ht="12.75">
      <c r="A30" s="32" t="s">
        <v>165</v>
      </c>
      <c r="B30" s="10">
        <v>3843919.39</v>
      </c>
      <c r="C30" s="10">
        <f>C31+C32+C33+C34+C35</f>
        <v>4364925.79</v>
      </c>
      <c r="D30" s="34" t="s">
        <v>166</v>
      </c>
      <c r="E30" s="33">
        <v>74100.48</v>
      </c>
      <c r="F30" s="33">
        <v>88075.65</v>
      </c>
    </row>
    <row r="31" spans="1:6" ht="29.25">
      <c r="A31" s="34" t="s">
        <v>167</v>
      </c>
      <c r="B31" s="10">
        <v>644</v>
      </c>
      <c r="C31" s="10">
        <v>715</v>
      </c>
      <c r="D31" s="34" t="s">
        <v>168</v>
      </c>
      <c r="E31" s="33">
        <v>196648.59</v>
      </c>
      <c r="F31" s="33">
        <v>224134.13</v>
      </c>
    </row>
    <row r="32" spans="1:6" ht="29.25">
      <c r="A32" s="34" t="s">
        <v>169</v>
      </c>
      <c r="B32" s="10">
        <v>0</v>
      </c>
      <c r="C32" s="10">
        <v>751116.21</v>
      </c>
      <c r="D32" s="34" t="s">
        <v>170</v>
      </c>
      <c r="E32" s="33">
        <v>0</v>
      </c>
      <c r="F32" s="33">
        <v>17739.79</v>
      </c>
    </row>
    <row r="33" spans="1:6" ht="19.5">
      <c r="A33" s="34" t="s">
        <v>171</v>
      </c>
      <c r="B33" s="10">
        <v>0</v>
      </c>
      <c r="C33" s="10">
        <v>0</v>
      </c>
      <c r="D33" s="34" t="s">
        <v>172</v>
      </c>
      <c r="E33" s="33">
        <v>0</v>
      </c>
      <c r="F33" s="33">
        <v>0</v>
      </c>
    </row>
    <row r="34" spans="1:6" ht="12.75">
      <c r="A34" s="34" t="s">
        <v>173</v>
      </c>
      <c r="B34" s="10">
        <v>3843275.39</v>
      </c>
      <c r="C34" s="10">
        <v>3551939.99</v>
      </c>
      <c r="D34" s="32" t="s">
        <v>174</v>
      </c>
      <c r="E34" s="33">
        <v>216498.66</v>
      </c>
      <c r="F34" s="33">
        <f>F35+F36</f>
        <v>270457.25</v>
      </c>
    </row>
    <row r="35" spans="1:6" ht="29.25">
      <c r="A35" s="34" t="s">
        <v>175</v>
      </c>
      <c r="B35" s="10">
        <v>0</v>
      </c>
      <c r="C35" s="10">
        <v>61154.59</v>
      </c>
      <c r="D35" s="34" t="s">
        <v>176</v>
      </c>
      <c r="E35" s="33">
        <v>132284.42</v>
      </c>
      <c r="F35" s="33">
        <v>147634.85</v>
      </c>
    </row>
    <row r="36" spans="1:6" ht="12.75">
      <c r="A36" s="32" t="s">
        <v>177</v>
      </c>
      <c r="B36" s="11">
        <v>1627238.08</v>
      </c>
      <c r="C36" s="13">
        <f>C37+C38+C39</f>
        <v>2686741.08</v>
      </c>
      <c r="D36" s="34" t="s">
        <v>178</v>
      </c>
      <c r="E36" s="33">
        <v>84214.24</v>
      </c>
      <c r="F36" s="33">
        <v>122822.4</v>
      </c>
    </row>
    <row r="37" spans="1:6" ht="18.75">
      <c r="A37" s="34" t="s">
        <v>179</v>
      </c>
      <c r="B37" s="10">
        <v>0</v>
      </c>
      <c r="C37" s="10">
        <v>0</v>
      </c>
      <c r="D37" s="36" t="s">
        <v>180</v>
      </c>
      <c r="E37" s="31">
        <v>0</v>
      </c>
      <c r="F37" s="31">
        <f>F38+F39</f>
        <v>532678.9</v>
      </c>
    </row>
    <row r="38" spans="1:6" ht="19.5">
      <c r="A38" s="34" t="s">
        <v>181</v>
      </c>
      <c r="B38" s="10">
        <v>1627238.08</v>
      </c>
      <c r="C38" s="10">
        <v>2669001.29</v>
      </c>
      <c r="D38" s="32" t="s">
        <v>182</v>
      </c>
      <c r="E38" s="33">
        <v>0</v>
      </c>
      <c r="F38" s="33">
        <v>532678.9</v>
      </c>
    </row>
    <row r="39" spans="1:6" ht="18.75">
      <c r="A39" s="34" t="s">
        <v>183</v>
      </c>
      <c r="B39" s="10">
        <v>0</v>
      </c>
      <c r="C39" s="10">
        <v>17739.79</v>
      </c>
      <c r="D39" s="32" t="s">
        <v>184</v>
      </c>
      <c r="E39" s="33">
        <v>0</v>
      </c>
      <c r="F39" s="33">
        <v>0</v>
      </c>
    </row>
    <row r="40" spans="1:6" ht="18.75">
      <c r="A40" s="32" t="s">
        <v>185</v>
      </c>
      <c r="B40" s="10">
        <v>0</v>
      </c>
      <c r="C40" s="10">
        <v>0</v>
      </c>
      <c r="D40" s="36" t="s">
        <v>186</v>
      </c>
      <c r="E40" s="31">
        <v>575317</v>
      </c>
      <c r="F40" s="31">
        <v>579128</v>
      </c>
    </row>
    <row r="41" spans="1:6" ht="18.75">
      <c r="A41" s="32" t="s">
        <v>187</v>
      </c>
      <c r="B41" s="10">
        <v>0</v>
      </c>
      <c r="C41" s="10">
        <v>0</v>
      </c>
      <c r="D41" s="21"/>
      <c r="E41" s="33"/>
      <c r="F41" s="33"/>
    </row>
    <row r="42" spans="1:6" ht="12.75">
      <c r="A42" s="36" t="s">
        <v>188</v>
      </c>
      <c r="B42" s="14">
        <v>0</v>
      </c>
      <c r="C42" s="14">
        <v>0</v>
      </c>
      <c r="D42" s="21"/>
      <c r="E42" s="33"/>
      <c r="F42" s="33"/>
    </row>
    <row r="43" spans="1:6" ht="12.75">
      <c r="A43" s="36" t="s">
        <v>189</v>
      </c>
      <c r="B43" s="14">
        <v>109302970.80000001</v>
      </c>
      <c r="C43" s="14">
        <f>C42+C24+C7</f>
        <v>119161311.86</v>
      </c>
      <c r="D43" s="30" t="s">
        <v>190</v>
      </c>
      <c r="E43" s="31">
        <v>109302970.8</v>
      </c>
      <c r="F43" s="31">
        <f>F7+F20+F23+F24+F37+F40</f>
        <v>119161311.86</v>
      </c>
    </row>
    <row r="44" ht="12.75">
      <c r="D44" t="s">
        <v>256</v>
      </c>
    </row>
    <row r="45" spans="1:6" ht="20.25" customHeight="1">
      <c r="A45" s="133" t="s">
        <v>114</v>
      </c>
      <c r="B45" s="133"/>
      <c r="C45" s="133"/>
      <c r="D45" s="133"/>
      <c r="E45" s="133"/>
      <c r="F45" s="133"/>
    </row>
    <row r="46" spans="1:6" ht="12.75">
      <c r="A46" s="133" t="s">
        <v>115</v>
      </c>
      <c r="B46" s="133"/>
      <c r="C46" s="133"/>
      <c r="D46" s="133"/>
      <c r="E46" s="133"/>
      <c r="F46" s="133"/>
    </row>
    <row r="47" spans="1:6" ht="12.75">
      <c r="A47" s="25" t="s">
        <v>116</v>
      </c>
      <c r="B47" s="25"/>
      <c r="C47" s="25"/>
      <c r="D47" s="93"/>
      <c r="E47" s="25"/>
      <c r="F47" s="25"/>
    </row>
    <row r="48" spans="1:6" ht="12.75">
      <c r="A48" s="25" t="s">
        <v>117</v>
      </c>
      <c r="B48" s="25"/>
      <c r="C48" s="25"/>
      <c r="D48" s="93"/>
      <c r="E48" s="25"/>
      <c r="F48" s="25"/>
    </row>
    <row r="49" spans="1:6" ht="12.75">
      <c r="A49" s="25" t="s">
        <v>118</v>
      </c>
      <c r="B49" s="25"/>
      <c r="C49" s="25"/>
      <c r="D49" s="93"/>
      <c r="E49" s="25"/>
      <c r="F49" s="25"/>
    </row>
    <row r="50" spans="1:6" ht="12.75">
      <c r="A50" s="25" t="s">
        <v>119</v>
      </c>
      <c r="B50" s="25"/>
      <c r="C50" s="25"/>
      <c r="D50" s="93"/>
      <c r="E50" s="25"/>
      <c r="F50" s="25"/>
    </row>
    <row r="51" spans="1:6" ht="12.75">
      <c r="A51" s="25" t="s">
        <v>120</v>
      </c>
      <c r="B51" s="25"/>
      <c r="C51" s="25"/>
      <c r="D51" s="25"/>
      <c r="E51" s="25"/>
      <c r="F51" s="25"/>
    </row>
    <row r="53" spans="1:5" ht="12.75">
      <c r="A53" s="26" t="s">
        <v>110</v>
      </c>
      <c r="C53" s="26" t="s">
        <v>111</v>
      </c>
      <c r="E53" s="26" t="s">
        <v>112</v>
      </c>
    </row>
  </sheetData>
  <mergeCells count="11">
    <mergeCell ref="A1:B2"/>
    <mergeCell ref="C1:D1"/>
    <mergeCell ref="E1:F2"/>
    <mergeCell ref="C2:D2"/>
    <mergeCell ref="A45:F45"/>
    <mergeCell ref="A46:F46"/>
    <mergeCell ref="A3:B3"/>
    <mergeCell ref="C3:D3"/>
    <mergeCell ref="E3:F4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20" zoomScaleNormal="120" workbookViewId="0" topLeftCell="A1">
      <selection activeCell="D9" sqref="D9"/>
    </sheetView>
  </sheetViews>
  <sheetFormatPr defaultColWidth="9.140625" defaultRowHeight="12.75"/>
  <cols>
    <col min="1" max="1" width="18.28125" style="0" customWidth="1"/>
    <col min="2" max="2" width="11.57421875" style="0" customWidth="1"/>
    <col min="3" max="3" width="12.00390625" style="0" customWidth="1"/>
    <col min="4" max="4" width="18.140625" style="0" customWidth="1"/>
    <col min="5" max="5" width="11.7109375" style="0" customWidth="1"/>
    <col min="6" max="6" width="11.57421875" style="0" customWidth="1"/>
  </cols>
  <sheetData>
    <row r="1" spans="1:6" ht="12.75">
      <c r="A1" s="94"/>
      <c r="B1" s="94"/>
      <c r="C1" s="94"/>
      <c r="D1" s="94"/>
      <c r="E1" s="94"/>
      <c r="F1" s="94"/>
    </row>
    <row r="2" spans="1:6" ht="12.75">
      <c r="A2" s="137" t="s">
        <v>200</v>
      </c>
      <c r="B2" s="138"/>
      <c r="C2" s="126"/>
      <c r="D2" s="127"/>
      <c r="E2" s="137" t="s">
        <v>264</v>
      </c>
      <c r="F2" s="138"/>
    </row>
    <row r="3" spans="1:6" ht="12.75">
      <c r="A3" s="139"/>
      <c r="B3" s="140"/>
      <c r="C3" s="141" t="s">
        <v>294</v>
      </c>
      <c r="D3" s="142"/>
      <c r="E3" s="139"/>
      <c r="F3" s="140"/>
    </row>
    <row r="4" spans="1:6" ht="12.75">
      <c r="A4" s="139"/>
      <c r="B4" s="140"/>
      <c r="C4" s="143" t="s">
        <v>295</v>
      </c>
      <c r="D4" s="144"/>
      <c r="E4" s="139"/>
      <c r="F4" s="140"/>
    </row>
    <row r="5" spans="1:6" ht="12.75">
      <c r="A5" s="126" t="s">
        <v>202</v>
      </c>
      <c r="B5" s="127"/>
      <c r="C5" s="145"/>
      <c r="D5" s="146"/>
      <c r="E5" s="147" t="s">
        <v>203</v>
      </c>
      <c r="F5" s="148"/>
    </row>
    <row r="6" spans="1:6" ht="12.75">
      <c r="A6" s="153" t="s">
        <v>4</v>
      </c>
      <c r="B6" s="154"/>
      <c r="C6" s="155" t="s">
        <v>248</v>
      </c>
      <c r="D6" s="156"/>
      <c r="E6" s="149"/>
      <c r="F6" s="150"/>
    </row>
    <row r="7" spans="1:6" ht="12.75">
      <c r="A7" s="157"/>
      <c r="B7" s="158"/>
      <c r="C7" s="157"/>
      <c r="D7" s="158"/>
      <c r="E7" s="151"/>
      <c r="F7" s="152"/>
    </row>
    <row r="8" spans="1:6" ht="12.75">
      <c r="A8" s="94"/>
      <c r="B8" s="159"/>
      <c r="C8" s="159"/>
      <c r="D8" s="95"/>
      <c r="E8" s="160"/>
      <c r="F8" s="160"/>
    </row>
    <row r="9" spans="1:6" ht="19.5">
      <c r="A9" s="57" t="s">
        <v>204</v>
      </c>
      <c r="B9" s="28" t="s">
        <v>205</v>
      </c>
      <c r="C9" s="28" t="s">
        <v>206</v>
      </c>
      <c r="D9" s="57" t="s">
        <v>207</v>
      </c>
      <c r="E9" s="28" t="s">
        <v>205</v>
      </c>
      <c r="F9" s="28" t="s">
        <v>206</v>
      </c>
    </row>
    <row r="10" spans="1:6" ht="12.75">
      <c r="A10" s="30" t="s">
        <v>11</v>
      </c>
      <c r="B10" s="14">
        <f>SUM(B11+B12+B21+B22+B26)</f>
        <v>99319435.58000001</v>
      </c>
      <c r="C10" s="14">
        <f>SUM(C11+C12+C21+C22+C26)</f>
        <v>103831813.33000001</v>
      </c>
      <c r="D10" s="30" t="s">
        <v>208</v>
      </c>
      <c r="E10" s="14">
        <f>SUM(E11+E12+E15+E16+E17+E18)</f>
        <v>102033380.45</v>
      </c>
      <c r="F10" s="14">
        <f>SUM(F11+F12+F15+F16+F17+F18)</f>
        <v>106775717.03</v>
      </c>
    </row>
    <row r="11" spans="1:6" ht="18.75">
      <c r="A11" s="36" t="s">
        <v>266</v>
      </c>
      <c r="B11" s="10">
        <v>6041.06</v>
      </c>
      <c r="C11" s="10">
        <v>5277.62</v>
      </c>
      <c r="D11" s="36" t="s">
        <v>127</v>
      </c>
      <c r="E11" s="10">
        <v>111543077.15</v>
      </c>
      <c r="F11" s="10">
        <v>116526096.08</v>
      </c>
    </row>
    <row r="12" spans="1:6" ht="18.75">
      <c r="A12" s="36" t="s">
        <v>23</v>
      </c>
      <c r="B12" s="10">
        <f>SUM(B13)</f>
        <v>87617794.52000001</v>
      </c>
      <c r="C12" s="10">
        <f>SUM(C13+C19+C21)</f>
        <v>92130935.71000001</v>
      </c>
      <c r="D12" s="36" t="s">
        <v>128</v>
      </c>
      <c r="E12" s="10">
        <f>SUM(E13-E14)</f>
        <v>-9509696.7</v>
      </c>
      <c r="F12" s="10">
        <f>SUM(F13-F14)</f>
        <v>-9750379.05</v>
      </c>
    </row>
    <row r="13" spans="1:6" ht="12.75">
      <c r="A13" s="34" t="s">
        <v>25</v>
      </c>
      <c r="B13" s="10">
        <f>SUM(B14:B20)</f>
        <v>87617794.52000001</v>
      </c>
      <c r="C13" s="10">
        <f>SUM(C14:C18)</f>
        <v>91885367.17</v>
      </c>
      <c r="D13" s="34" t="s">
        <v>216</v>
      </c>
      <c r="E13" s="10">
        <v>0</v>
      </c>
      <c r="F13" s="10">
        <v>0</v>
      </c>
    </row>
    <row r="14" spans="1:6" ht="12.75">
      <c r="A14" s="34" t="s">
        <v>130</v>
      </c>
      <c r="B14" s="10">
        <v>53156204.7</v>
      </c>
      <c r="C14" s="10">
        <v>52694728.7</v>
      </c>
      <c r="D14" s="34" t="s">
        <v>218</v>
      </c>
      <c r="E14" s="10">
        <v>9509696.7</v>
      </c>
      <c r="F14" s="10">
        <v>9750379.05</v>
      </c>
    </row>
    <row r="15" spans="1:6" ht="19.5">
      <c r="A15" s="34" t="s">
        <v>213</v>
      </c>
      <c r="B15" s="10">
        <v>31915857.25</v>
      </c>
      <c r="C15" s="10">
        <v>38776831.95</v>
      </c>
      <c r="D15" s="36" t="s">
        <v>267</v>
      </c>
      <c r="E15" s="10">
        <f>SUM('[2]zakłady budżetowe'!L48)</f>
        <v>0</v>
      </c>
      <c r="F15" s="10">
        <f>SUM('[2]zakłady budżetowe'!M48)</f>
        <v>0</v>
      </c>
    </row>
    <row r="16" spans="1:6" ht="19.5">
      <c r="A16" s="34" t="s">
        <v>134</v>
      </c>
      <c r="B16" s="10">
        <v>238394.02</v>
      </c>
      <c r="C16" s="10">
        <v>207845.04</v>
      </c>
      <c r="D16" s="36" t="s">
        <v>268</v>
      </c>
      <c r="E16" s="10">
        <f>SUM('[2]zakłady budżetowe'!L49)</f>
        <v>0</v>
      </c>
      <c r="F16" s="10">
        <f>SUM('[2]zakłady budżetowe'!M49)</f>
        <v>0</v>
      </c>
    </row>
    <row r="17" spans="1:6" ht="27.75">
      <c r="A17" s="34" t="s">
        <v>136</v>
      </c>
      <c r="B17" s="10">
        <v>87839.98</v>
      </c>
      <c r="C17" s="10">
        <v>174749.21</v>
      </c>
      <c r="D17" s="36" t="s">
        <v>269</v>
      </c>
      <c r="E17" s="10">
        <f>SUM('[2]zakłady budżetowe'!L50)</f>
        <v>0</v>
      </c>
      <c r="F17" s="10">
        <f>SUM('[2]zakłady budżetowe'!M50)</f>
        <v>0</v>
      </c>
    </row>
    <row r="18" spans="1:6" ht="12.75">
      <c r="A18" s="34" t="s">
        <v>217</v>
      </c>
      <c r="B18" s="10">
        <v>22298.93</v>
      </c>
      <c r="C18" s="10">
        <v>31212.27</v>
      </c>
      <c r="D18" s="36" t="s">
        <v>270</v>
      </c>
      <c r="E18" s="10">
        <f>SUM('[2]zakłady budżetowe'!L51)</f>
        <v>0</v>
      </c>
      <c r="F18" s="10">
        <f>SUM('[2]zakłady budżetowe'!M51)</f>
        <v>0</v>
      </c>
    </row>
    <row r="19" spans="1:6" ht="19.5">
      <c r="A19" s="34" t="s">
        <v>140</v>
      </c>
      <c r="B19" s="10">
        <v>2197199.64</v>
      </c>
      <c r="C19" s="10">
        <v>245568.54</v>
      </c>
      <c r="D19" s="36" t="s">
        <v>271</v>
      </c>
      <c r="E19" s="14">
        <f>SUM(E20+E21)</f>
        <v>0</v>
      </c>
      <c r="F19" s="14">
        <f>SUM(F20+F21)</f>
        <v>0</v>
      </c>
    </row>
    <row r="20" spans="1:6" ht="19.5">
      <c r="A20" s="34" t="s">
        <v>272</v>
      </c>
      <c r="B20" s="10">
        <v>0</v>
      </c>
      <c r="C20" s="10">
        <v>0</v>
      </c>
      <c r="D20" s="34" t="s">
        <v>273</v>
      </c>
      <c r="E20" s="10">
        <f>SUM('[2]zakłady budżetowe'!L53)</f>
        <v>0</v>
      </c>
      <c r="F20" s="10">
        <f>SUM('[2]zakłady budżetowe'!M53)</f>
        <v>0</v>
      </c>
    </row>
    <row r="21" spans="1:6" ht="18.75">
      <c r="A21" s="36" t="s">
        <v>274</v>
      </c>
      <c r="B21" s="10">
        <v>0</v>
      </c>
      <c r="C21" s="10">
        <v>0</v>
      </c>
      <c r="D21" s="34" t="s">
        <v>275</v>
      </c>
      <c r="E21" s="10">
        <f>SUM('[2]zakłady budżetowe'!L54)</f>
        <v>0</v>
      </c>
      <c r="F21" s="10">
        <f>SUM('[2]zakłady budżetowe'!M54)</f>
        <v>0</v>
      </c>
    </row>
    <row r="22" spans="1:6" ht="18.75">
      <c r="A22" s="36" t="s">
        <v>276</v>
      </c>
      <c r="B22" s="10">
        <f>SUM(B23:B25)</f>
        <v>11695600</v>
      </c>
      <c r="C22" s="10">
        <f>SUM(C23:C25)</f>
        <v>11695600</v>
      </c>
      <c r="D22" s="36" t="s">
        <v>277</v>
      </c>
      <c r="E22" s="10">
        <f>SUM('[2]zakłady budżetowe'!L55)</f>
        <v>0</v>
      </c>
      <c r="F22" s="10">
        <f>SUM('[2]zakłady budżetowe'!M55)</f>
        <v>0</v>
      </c>
    </row>
    <row r="23" spans="1:6" ht="27.75">
      <c r="A23" s="34" t="s">
        <v>223</v>
      </c>
      <c r="B23" s="10">
        <v>11695600</v>
      </c>
      <c r="C23" s="10">
        <v>11695600</v>
      </c>
      <c r="D23" s="36" t="s">
        <v>278</v>
      </c>
      <c r="E23" s="14">
        <f>SUM(E24+E33)</f>
        <v>1106022.2</v>
      </c>
      <c r="F23" s="14">
        <f>SUM(F24+F33)</f>
        <v>1196945.93</v>
      </c>
    </row>
    <row r="24" spans="1:6" ht="19.5">
      <c r="A24" s="34" t="s">
        <v>149</v>
      </c>
      <c r="B24" s="10">
        <f>SUM('[2]zakłady budżetowe'!L17)</f>
        <v>0</v>
      </c>
      <c r="C24" s="10">
        <v>0</v>
      </c>
      <c r="D24" s="34" t="s">
        <v>156</v>
      </c>
      <c r="E24" s="10">
        <f>SUM(E25:E32)</f>
        <v>926315.66</v>
      </c>
      <c r="F24" s="10">
        <f>SUM(F25:F32)</f>
        <v>980447.2699999999</v>
      </c>
    </row>
    <row r="25" spans="1:6" ht="19.5">
      <c r="A25" s="34" t="s">
        <v>151</v>
      </c>
      <c r="B25" s="10">
        <f>SUM('[2]zakłady budżetowe'!L18)</f>
        <v>0</v>
      </c>
      <c r="C25" s="10">
        <f>SUM('[2]zakłady budżetowe'!M18)</f>
        <v>0</v>
      </c>
      <c r="D25" s="34" t="s">
        <v>158</v>
      </c>
      <c r="E25" s="10">
        <v>315077.58</v>
      </c>
      <c r="F25" s="10">
        <v>423557.54</v>
      </c>
    </row>
    <row r="26" spans="1:6" ht="19.5">
      <c r="A26" s="36" t="s">
        <v>279</v>
      </c>
      <c r="B26" s="10">
        <v>0</v>
      </c>
      <c r="C26" s="10">
        <v>0</v>
      </c>
      <c r="D26" s="34" t="s">
        <v>280</v>
      </c>
      <c r="E26" s="10">
        <v>33539.22</v>
      </c>
      <c r="F26" s="10">
        <v>56858.17</v>
      </c>
    </row>
    <row r="27" spans="1:6" ht="19.5">
      <c r="A27" s="36" t="s">
        <v>75</v>
      </c>
      <c r="B27" s="14">
        <f>SUM(B28+B33+B39+B43+B44)</f>
        <v>3819967.0700000003</v>
      </c>
      <c r="C27" s="14">
        <f>SUM(C28+C33+C39+C43+C44)</f>
        <v>4129947.81</v>
      </c>
      <c r="D27" s="34" t="s">
        <v>162</v>
      </c>
      <c r="E27" s="10">
        <v>107732.58</v>
      </c>
      <c r="F27" s="10">
        <v>130174.75</v>
      </c>
    </row>
    <row r="28" spans="1:6" ht="19.5">
      <c r="A28" s="36" t="s">
        <v>77</v>
      </c>
      <c r="B28" s="10">
        <v>0</v>
      </c>
      <c r="C28" s="10">
        <f>SUM(C29:C32)</f>
        <v>0</v>
      </c>
      <c r="D28" s="34" t="s">
        <v>164</v>
      </c>
      <c r="E28" s="10">
        <v>156599.07</v>
      </c>
      <c r="F28" s="10">
        <v>88212.25</v>
      </c>
    </row>
    <row r="29" spans="1:6" ht="12.75">
      <c r="A29" s="34" t="s">
        <v>281</v>
      </c>
      <c r="B29" s="10">
        <v>0</v>
      </c>
      <c r="C29" s="10">
        <v>0</v>
      </c>
      <c r="D29" s="34" t="s">
        <v>282</v>
      </c>
      <c r="E29" s="10">
        <v>79200.46</v>
      </c>
      <c r="F29" s="10">
        <v>74094.15</v>
      </c>
    </row>
    <row r="30" spans="1:6" ht="29.25">
      <c r="A30" s="34" t="s">
        <v>159</v>
      </c>
      <c r="B30" s="10">
        <f>SUM('[2]zakłady budżetowe'!L23)</f>
        <v>0</v>
      </c>
      <c r="C30" s="10">
        <f>SUM('[2]zakłady budżetowe'!M23)</f>
        <v>0</v>
      </c>
      <c r="D30" s="34" t="s">
        <v>283</v>
      </c>
      <c r="E30" s="10">
        <v>234166.75</v>
      </c>
      <c r="F30" s="10">
        <v>196648.59</v>
      </c>
    </row>
    <row r="31" spans="1:6" ht="39">
      <c r="A31" s="34" t="s">
        <v>161</v>
      </c>
      <c r="B31" s="10">
        <f>SUM('[2]zakłady budżetowe'!L24)</f>
        <v>0</v>
      </c>
      <c r="C31" s="10">
        <f>SUM('[2]zakłady budżetowe'!M24)</f>
        <v>0</v>
      </c>
      <c r="D31" s="34" t="s">
        <v>170</v>
      </c>
      <c r="E31" s="10">
        <f>SUM('[2]zakłady budżetowe'!L64)</f>
        <v>0</v>
      </c>
      <c r="F31" s="10">
        <f>SUM('[2]zakłady budżetowe'!M64)</f>
        <v>0</v>
      </c>
    </row>
    <row r="32" spans="1:6" ht="19.5">
      <c r="A32" s="34" t="s">
        <v>163</v>
      </c>
      <c r="B32" s="10">
        <v>0</v>
      </c>
      <c r="C32" s="10">
        <v>0</v>
      </c>
      <c r="D32" s="34" t="s">
        <v>172</v>
      </c>
      <c r="E32" s="10">
        <f>SUM('[2]zakłady budżetowe'!L65)</f>
        <v>0</v>
      </c>
      <c r="F32" s="10">
        <f>SUM('[2]zakłady budżetowe'!M65)</f>
        <v>10901.82</v>
      </c>
    </row>
    <row r="33" spans="1:6" ht="18.75">
      <c r="A33" s="36" t="s">
        <v>284</v>
      </c>
      <c r="B33" s="10">
        <f>SUM(B34:B38)</f>
        <v>3445660.68</v>
      </c>
      <c r="C33" s="10">
        <f>SUM(C34:C38)</f>
        <v>3843919.39</v>
      </c>
      <c r="D33" s="36" t="s">
        <v>285</v>
      </c>
      <c r="E33" s="10">
        <f>SUM(E34:E35)</f>
        <v>179706.54</v>
      </c>
      <c r="F33" s="10">
        <f>SUM(F34:F35)</f>
        <v>216498.66000000003</v>
      </c>
    </row>
    <row r="34" spans="1:6" ht="19.5">
      <c r="A34" s="34" t="s">
        <v>167</v>
      </c>
      <c r="B34" s="10">
        <v>0</v>
      </c>
      <c r="C34" s="10">
        <v>644</v>
      </c>
      <c r="D34" s="34" t="s">
        <v>176</v>
      </c>
      <c r="E34" s="10">
        <v>111710.21</v>
      </c>
      <c r="F34" s="10">
        <v>132284.42</v>
      </c>
    </row>
    <row r="35" spans="1:6" ht="12.75">
      <c r="A35" s="34" t="s">
        <v>286</v>
      </c>
      <c r="B35" s="10">
        <v>0</v>
      </c>
      <c r="C35" s="10">
        <v>0</v>
      </c>
      <c r="D35" s="34" t="s">
        <v>178</v>
      </c>
      <c r="E35" s="10">
        <v>67996.33</v>
      </c>
      <c r="F35" s="10">
        <v>84214.24</v>
      </c>
    </row>
    <row r="36" spans="1:6" ht="19.5">
      <c r="A36" s="34" t="s">
        <v>171</v>
      </c>
      <c r="B36" s="10">
        <f>SUM('[2]zakłady budżetowe'!L29)</f>
        <v>0</v>
      </c>
      <c r="C36" s="10">
        <f>SUM('[2]zakłady budżetowe'!M29)</f>
        <v>0</v>
      </c>
      <c r="D36" s="36" t="s">
        <v>180</v>
      </c>
      <c r="E36" s="14">
        <f>SUM(E37+E38)</f>
        <v>0</v>
      </c>
      <c r="F36" s="14">
        <f>SUM(F37+F38)</f>
        <v>0</v>
      </c>
    </row>
    <row r="37" spans="1:6" ht="27.75">
      <c r="A37" s="34" t="s">
        <v>287</v>
      </c>
      <c r="B37" s="10">
        <v>3445660.68</v>
      </c>
      <c r="C37" s="106">
        <v>3843275.39</v>
      </c>
      <c r="D37" s="36" t="s">
        <v>182</v>
      </c>
      <c r="E37" s="14">
        <f>SUM('[2]zakłady budżetowe'!L70)</f>
        <v>0</v>
      </c>
      <c r="F37" s="14">
        <f>SUM('[2]zakłady budżetowe'!M70)</f>
        <v>0</v>
      </c>
    </row>
    <row r="38" spans="1:6" ht="39">
      <c r="A38" s="34" t="s">
        <v>175</v>
      </c>
      <c r="B38" s="10">
        <f>SUM('[2]zakłady budżetowe'!L31)</f>
        <v>0</v>
      </c>
      <c r="C38" s="10">
        <f>SUM('[2]zakłady budżetowe'!M31)</f>
        <v>0</v>
      </c>
      <c r="D38" s="36" t="s">
        <v>288</v>
      </c>
      <c r="E38" s="14">
        <f>SUM('[2]zakłady budżetowe'!L71)</f>
        <v>0</v>
      </c>
      <c r="F38" s="14">
        <f>SUM('[2]zakłady budżetowe'!M71)</f>
        <v>0</v>
      </c>
    </row>
    <row r="39" spans="1:6" ht="12.75">
      <c r="A39" s="36" t="s">
        <v>289</v>
      </c>
      <c r="B39" s="10">
        <f>SUM(B40:B42)</f>
        <v>374306.39</v>
      </c>
      <c r="C39" s="10">
        <f>SUM(C40:C42)</f>
        <v>286028.42</v>
      </c>
      <c r="D39" s="36" t="s">
        <v>186</v>
      </c>
      <c r="E39" s="14">
        <f>SUM('[2]zakłady budżetowe'!L72)</f>
        <v>0</v>
      </c>
      <c r="F39" s="14">
        <f>SUM('[2]zakłady budżetowe'!M72)</f>
        <v>0</v>
      </c>
    </row>
    <row r="40" spans="1:6" ht="19.5">
      <c r="A40" s="34" t="s">
        <v>290</v>
      </c>
      <c r="B40" s="10">
        <v>0</v>
      </c>
      <c r="C40" s="10">
        <v>0</v>
      </c>
      <c r="D40" s="21"/>
      <c r="E40" s="21"/>
      <c r="F40" s="21"/>
    </row>
    <row r="41" spans="1:6" ht="19.5">
      <c r="A41" s="34" t="s">
        <v>181</v>
      </c>
      <c r="B41" s="10">
        <v>374306.39</v>
      </c>
      <c r="C41" s="10">
        <v>286028.42</v>
      </c>
      <c r="D41" s="10"/>
      <c r="E41" s="10"/>
      <c r="F41" s="10"/>
    </row>
    <row r="42" spans="1:6" ht="12.75">
      <c r="A42" s="34" t="s">
        <v>183</v>
      </c>
      <c r="B42" s="10">
        <v>0</v>
      </c>
      <c r="C42" s="10" t="s">
        <v>256</v>
      </c>
      <c r="D42" s="10"/>
      <c r="E42" s="10"/>
      <c r="F42" s="10"/>
    </row>
    <row r="43" spans="1:6" ht="18.75">
      <c r="A43" s="36" t="s">
        <v>291</v>
      </c>
      <c r="B43" s="10">
        <f>SUM('[2]zakłady budżetowe'!L36)</f>
        <v>0</v>
      </c>
      <c r="C43" s="10">
        <f>SUM('[2]zakłady budżetowe'!M36)</f>
        <v>0</v>
      </c>
      <c r="D43" s="10"/>
      <c r="E43" s="10"/>
      <c r="F43" s="10"/>
    </row>
    <row r="44" spans="1:6" ht="18.75">
      <c r="A44" s="36" t="s">
        <v>187</v>
      </c>
      <c r="B44" s="10">
        <f>SUM('[2]zakłady budżetowe'!L37)</f>
        <v>0</v>
      </c>
      <c r="C44" s="10">
        <f>SUM('[2]zakłady budżetowe'!M37)</f>
        <v>0</v>
      </c>
      <c r="D44" s="10"/>
      <c r="E44" s="10"/>
      <c r="F44" s="10"/>
    </row>
    <row r="45" spans="1:6" ht="12.75">
      <c r="A45" s="36" t="s">
        <v>188</v>
      </c>
      <c r="B45" s="10">
        <f>SUM('[2]zakłady budżetowe'!L38)</f>
        <v>0</v>
      </c>
      <c r="C45" s="10">
        <f>SUM('[2]zakłady budżetowe'!M38)</f>
        <v>0</v>
      </c>
      <c r="D45" s="14"/>
      <c r="E45" s="14"/>
      <c r="F45" s="14"/>
    </row>
    <row r="46" spans="1:6" ht="12.75">
      <c r="A46" s="29" t="s">
        <v>189</v>
      </c>
      <c r="B46" s="14">
        <f>SUM(B10+B27+B45)</f>
        <v>103139402.65</v>
      </c>
      <c r="C46" s="14">
        <f>SUM(C10+C27+C45)</f>
        <v>107961761.14000002</v>
      </c>
      <c r="D46" s="29" t="s">
        <v>190</v>
      </c>
      <c r="E46" s="14">
        <f>SUM(E10+E19+E22+E23+E36+E39)</f>
        <v>103139402.65</v>
      </c>
      <c r="F46" s="14">
        <f>SUM(F10+F19+F22+F23+F36+F39)</f>
        <v>107972662.96000001</v>
      </c>
    </row>
    <row r="47" spans="1:6" ht="12.75">
      <c r="A47" s="103"/>
      <c r="B47" s="94"/>
      <c r="C47" s="94"/>
      <c r="D47" s="94"/>
      <c r="E47" s="94"/>
      <c r="F47" s="94"/>
    </row>
    <row r="48" spans="1:6" ht="19.5" customHeight="1">
      <c r="A48" s="133" t="s">
        <v>114</v>
      </c>
      <c r="B48" s="133"/>
      <c r="C48" s="133"/>
      <c r="D48" s="133"/>
      <c r="E48" s="133"/>
      <c r="F48" s="133"/>
    </row>
    <row r="49" spans="1:6" ht="12.75" customHeight="1">
      <c r="A49" s="133" t="s">
        <v>115</v>
      </c>
      <c r="B49" s="133"/>
      <c r="C49" s="133"/>
      <c r="D49" s="133"/>
      <c r="E49" s="133"/>
      <c r="F49" s="133"/>
    </row>
    <row r="50" spans="1:6" ht="12.75">
      <c r="A50" s="25" t="s">
        <v>116</v>
      </c>
      <c r="B50" s="25"/>
      <c r="C50" s="25"/>
      <c r="D50" s="93"/>
      <c r="E50" s="25"/>
      <c r="F50" s="25"/>
    </row>
    <row r="51" spans="1:6" ht="12.75" customHeight="1">
      <c r="A51" s="25" t="s">
        <v>117</v>
      </c>
      <c r="B51" s="25"/>
      <c r="C51" s="25"/>
      <c r="D51" s="93"/>
      <c r="E51" s="25"/>
      <c r="F51" s="25"/>
    </row>
    <row r="52" spans="1:6" ht="12.75" customHeight="1">
      <c r="A52" s="25" t="s">
        <v>118</v>
      </c>
      <c r="B52" s="25"/>
      <c r="C52" s="25"/>
      <c r="D52" s="93"/>
      <c r="E52" s="25"/>
      <c r="F52" s="25"/>
    </row>
    <row r="53" spans="1:6" ht="12.75" customHeight="1">
      <c r="A53" s="25" t="s">
        <v>119</v>
      </c>
      <c r="B53" s="25"/>
      <c r="C53" s="25"/>
      <c r="D53" s="93"/>
      <c r="E53" s="25"/>
      <c r="F53" s="25"/>
    </row>
    <row r="54" spans="1:6" ht="12.75">
      <c r="A54" s="25" t="s">
        <v>120</v>
      </c>
      <c r="B54" s="25"/>
      <c r="C54" s="25"/>
      <c r="D54" s="25"/>
      <c r="E54" s="25"/>
      <c r="F54" s="25"/>
    </row>
    <row r="56" spans="1:5" ht="12.75">
      <c r="A56" s="26" t="s">
        <v>110</v>
      </c>
      <c r="C56" s="26" t="s">
        <v>111</v>
      </c>
      <c r="E56" s="26" t="s">
        <v>112</v>
      </c>
    </row>
    <row r="57" spans="1:6" ht="12.75">
      <c r="A57" s="105"/>
      <c r="B57" s="104"/>
      <c r="C57" s="104"/>
      <c r="D57" s="104"/>
      <c r="E57" s="104"/>
      <c r="F57" s="104"/>
    </row>
  </sheetData>
  <mergeCells count="16">
    <mergeCell ref="B8:C8"/>
    <mergeCell ref="E8:F8"/>
    <mergeCell ref="A48:F48"/>
    <mergeCell ref="A49:F49"/>
    <mergeCell ref="A5:B5"/>
    <mergeCell ref="C5:D5"/>
    <mergeCell ref="E5:F7"/>
    <mergeCell ref="A6:B6"/>
    <mergeCell ref="C6:D6"/>
    <mergeCell ref="A7:B7"/>
    <mergeCell ref="C7:D7"/>
    <mergeCell ref="A2:B4"/>
    <mergeCell ref="C2:D2"/>
    <mergeCell ref="E2:F4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2008-04-22T09:57:15Z</cp:lastPrinted>
  <dcterms:created xsi:type="dcterms:W3CDTF">2008-03-27T13:15:23Z</dcterms:created>
  <dcterms:modified xsi:type="dcterms:W3CDTF">2008-04-22T10:07:27Z</dcterms:modified>
  <cp:category/>
  <cp:version/>
  <cp:contentType/>
  <cp:contentStatus/>
</cp:coreProperties>
</file>